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12915" windowHeight="7695" activeTab="4"/>
  </bookViews>
  <sheets>
    <sheet name="2013" sheetId="5" r:id="rId1"/>
    <sheet name="2014" sheetId="2" r:id="rId2"/>
    <sheet name="2015" sheetId="1" r:id="rId3"/>
    <sheet name="2016" sheetId="4" r:id="rId4"/>
    <sheet name="2017" sheetId="8" r:id="rId5"/>
    <sheet name="HISTORICO CPS" sheetId="7" r:id="rId6"/>
    <sheet name="HISTORICO TRAZIA" sheetId="9" r:id="rId7"/>
    <sheet name="HISTORICO " sheetId="10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A">[1]CLIENTES!$A$2:$A$10000</definedName>
    <definedName name="clientes" localSheetId="4">#REF!</definedName>
    <definedName name="clientes" localSheetId="7">#REF!</definedName>
    <definedName name="clientes" localSheetId="6">#REF!</definedName>
    <definedName name="clientes">#REF!</definedName>
  </definedNames>
  <calcPr calcId="145621"/>
</workbook>
</file>

<file path=xl/calcChain.xml><?xml version="1.0" encoding="utf-8"?>
<calcChain xmlns="http://schemas.openxmlformats.org/spreadsheetml/2006/main">
  <c r="E8" i="10" l="1"/>
  <c r="D8" i="10"/>
  <c r="C8" i="10"/>
  <c r="B8" i="10"/>
  <c r="E7" i="10"/>
  <c r="K7" i="10" s="1"/>
  <c r="D7" i="10"/>
  <c r="C7" i="10"/>
  <c r="B7" i="10"/>
  <c r="F7" i="10" s="1"/>
  <c r="E6" i="10"/>
  <c r="D6" i="10"/>
  <c r="C6" i="10"/>
  <c r="B6" i="10"/>
  <c r="F6" i="10" s="1"/>
  <c r="E5" i="10"/>
  <c r="D5" i="10"/>
  <c r="C5" i="10"/>
  <c r="B5" i="10"/>
  <c r="E4" i="10"/>
  <c r="D4" i="10"/>
  <c r="C4" i="10"/>
  <c r="B4" i="10"/>
  <c r="B12" i="10"/>
  <c r="B11" i="10"/>
  <c r="B10" i="10"/>
  <c r="B9" i="10"/>
  <c r="E12" i="10"/>
  <c r="D12" i="10"/>
  <c r="C12" i="10"/>
  <c r="E11" i="10"/>
  <c r="D11" i="10"/>
  <c r="C11" i="10"/>
  <c r="F11" i="10" s="1"/>
  <c r="E10" i="10"/>
  <c r="D10" i="10"/>
  <c r="C10" i="10"/>
  <c r="E9" i="10"/>
  <c r="D9" i="10"/>
  <c r="C9" i="10"/>
  <c r="F12" i="10"/>
  <c r="K12" i="10" s="1"/>
  <c r="F9" i="9"/>
  <c r="H4" i="10" l="1"/>
  <c r="K6" i="10"/>
  <c r="J6" i="10"/>
  <c r="I6" i="10"/>
  <c r="I7" i="10"/>
  <c r="J7" i="10"/>
  <c r="F8" i="10"/>
  <c r="F5" i="10"/>
  <c r="H7" i="10"/>
  <c r="F4" i="10"/>
  <c r="H6" i="10"/>
  <c r="F9" i="10"/>
  <c r="H9" i="10" s="1"/>
  <c r="K11" i="10"/>
  <c r="J11" i="10"/>
  <c r="H12" i="10"/>
  <c r="F10" i="10"/>
  <c r="H10" i="10" s="1"/>
  <c r="I12" i="10"/>
  <c r="J12" i="10"/>
  <c r="H11" i="10"/>
  <c r="K9" i="10"/>
  <c r="I11" i="10"/>
  <c r="F10" i="9"/>
  <c r="H5" i="10" l="1"/>
  <c r="I5" i="10"/>
  <c r="J8" i="10"/>
  <c r="I8" i="10"/>
  <c r="J5" i="10"/>
  <c r="K5" i="10"/>
  <c r="K8" i="10"/>
  <c r="K4" i="10"/>
  <c r="J4" i="10"/>
  <c r="I4" i="10"/>
  <c r="H8" i="10"/>
  <c r="J9" i="10"/>
  <c r="I9" i="10"/>
  <c r="I10" i="10"/>
  <c r="J10" i="10"/>
  <c r="K10" i="10"/>
  <c r="F11" i="9"/>
  <c r="F12" i="9" l="1"/>
  <c r="E13" i="9" l="1"/>
  <c r="D13" i="9"/>
  <c r="B13" i="9"/>
  <c r="C13" i="9"/>
  <c r="K12" i="9"/>
  <c r="J12" i="9"/>
  <c r="I12" i="9"/>
  <c r="H12" i="9"/>
  <c r="H11" i="9"/>
  <c r="K10" i="9"/>
  <c r="J10" i="9"/>
  <c r="I10" i="9"/>
  <c r="H10" i="9"/>
  <c r="K9" i="9"/>
  <c r="K8" i="9"/>
  <c r="K7" i="9"/>
  <c r="J7" i="9"/>
  <c r="I7" i="9"/>
  <c r="H7" i="9"/>
  <c r="H6" i="9"/>
  <c r="K5" i="9"/>
  <c r="J5" i="9"/>
  <c r="K4" i="9"/>
  <c r="J4" i="9"/>
  <c r="I4" i="9"/>
  <c r="H4" i="9"/>
  <c r="E15" i="7"/>
  <c r="D15" i="7"/>
  <c r="C15" i="7"/>
  <c r="B15" i="7"/>
  <c r="E13" i="7"/>
  <c r="D13" i="7"/>
  <c r="C13" i="7"/>
  <c r="B13" i="7"/>
  <c r="F13" i="9" l="1"/>
  <c r="B13" i="10"/>
  <c r="C13" i="10"/>
  <c r="F13" i="10" s="1"/>
  <c r="K13" i="10" s="1"/>
  <c r="D13" i="10"/>
  <c r="E13" i="10"/>
  <c r="F13" i="7"/>
  <c r="H13" i="9"/>
  <c r="J6" i="9"/>
  <c r="H5" i="9"/>
  <c r="K6" i="9"/>
  <c r="I8" i="9"/>
  <c r="J11" i="9"/>
  <c r="H9" i="9"/>
  <c r="I9" i="9"/>
  <c r="I6" i="9"/>
  <c r="J9" i="9"/>
  <c r="J13" i="9"/>
  <c r="H8" i="9"/>
  <c r="I11" i="9"/>
  <c r="I5" i="9"/>
  <c r="J8" i="9"/>
  <c r="K11" i="9"/>
  <c r="F15" i="7"/>
  <c r="I13" i="10" l="1"/>
  <c r="I15" i="7"/>
  <c r="H15" i="7"/>
  <c r="K15" i="7"/>
  <c r="J13" i="10"/>
  <c r="J15" i="7"/>
  <c r="H13" i="10"/>
  <c r="I13" i="9"/>
  <c r="K13" i="9"/>
  <c r="L9" i="8" l="1"/>
  <c r="L6" i="8"/>
  <c r="L5" i="8"/>
  <c r="L10" i="8"/>
  <c r="L5" i="1" l="1"/>
  <c r="G33" i="1" l="1"/>
  <c r="L13" i="8" l="1"/>
  <c r="L14" i="8"/>
  <c r="M5" i="8" s="1"/>
  <c r="G52" i="4"/>
  <c r="F52" i="4"/>
  <c r="G51" i="4"/>
  <c r="F51" i="4"/>
  <c r="G50" i="4"/>
  <c r="F50" i="4"/>
  <c r="G49" i="4"/>
  <c r="F49" i="4"/>
  <c r="G48" i="4"/>
  <c r="F48" i="4"/>
  <c r="G47" i="4"/>
  <c r="F47" i="4"/>
  <c r="G46" i="4"/>
  <c r="F46" i="4"/>
  <c r="G45" i="4"/>
  <c r="F45" i="4"/>
  <c r="G44" i="4"/>
  <c r="F44" i="4"/>
  <c r="G43" i="4"/>
  <c r="F43" i="4"/>
  <c r="G42" i="4"/>
  <c r="F42" i="4"/>
  <c r="G41" i="4"/>
  <c r="F41" i="4"/>
  <c r="G40" i="4"/>
  <c r="F40" i="4"/>
  <c r="G39" i="4"/>
  <c r="F39" i="4"/>
  <c r="G38" i="4"/>
  <c r="F38" i="4"/>
  <c r="G37" i="4"/>
  <c r="F37" i="4"/>
  <c r="G36" i="4"/>
  <c r="F36" i="4"/>
  <c r="G35" i="4"/>
  <c r="F35" i="4"/>
  <c r="G34" i="4"/>
  <c r="F34" i="4"/>
  <c r="G33" i="4"/>
  <c r="F33" i="4"/>
  <c r="G32" i="4"/>
  <c r="F32" i="4"/>
  <c r="G31" i="4"/>
  <c r="F31" i="4"/>
  <c r="G30" i="4"/>
  <c r="F30" i="4"/>
  <c r="G29" i="4"/>
  <c r="F29" i="4"/>
  <c r="G28" i="4"/>
  <c r="F28" i="4"/>
  <c r="G27" i="4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B40" i="4"/>
  <c r="A40" i="4"/>
  <c r="B39" i="4"/>
  <c r="A39" i="4"/>
  <c r="B38" i="4"/>
  <c r="A38" i="4"/>
  <c r="B37" i="4"/>
  <c r="A37" i="4"/>
  <c r="B36" i="4"/>
  <c r="A36" i="4"/>
  <c r="B35" i="4"/>
  <c r="A35" i="4"/>
  <c r="B34" i="4"/>
  <c r="A34" i="4"/>
  <c r="B33" i="4"/>
  <c r="A33" i="4"/>
  <c r="B32" i="4"/>
  <c r="A32" i="4"/>
  <c r="B31" i="4"/>
  <c r="A31" i="4"/>
  <c r="B30" i="4"/>
  <c r="A30" i="4"/>
  <c r="B29" i="4"/>
  <c r="A29" i="4"/>
  <c r="B28" i="4"/>
  <c r="A28" i="4"/>
  <c r="B27" i="4"/>
  <c r="A27" i="4"/>
  <c r="B26" i="4"/>
  <c r="A26" i="4"/>
  <c r="B25" i="4"/>
  <c r="A25" i="4"/>
  <c r="A24" i="4"/>
  <c r="A20" i="4"/>
  <c r="B19" i="4"/>
  <c r="A19" i="4"/>
  <c r="B18" i="4"/>
  <c r="A18" i="4"/>
  <c r="B17" i="4"/>
  <c r="A17" i="4"/>
  <c r="B16" i="4"/>
  <c r="A16" i="4"/>
  <c r="B15" i="4"/>
  <c r="A15" i="4"/>
  <c r="B14" i="4"/>
  <c r="A14" i="4"/>
  <c r="B13" i="4"/>
  <c r="A13" i="4"/>
  <c r="B12" i="4"/>
  <c r="A12" i="4"/>
  <c r="B11" i="4"/>
  <c r="A11" i="4"/>
  <c r="B10" i="4"/>
  <c r="A10" i="4"/>
  <c r="B9" i="4"/>
  <c r="A9" i="4"/>
  <c r="B8" i="4"/>
  <c r="A8" i="4"/>
  <c r="B7" i="4"/>
  <c r="A7" i="4"/>
  <c r="A6" i="4"/>
  <c r="B5" i="4"/>
  <c r="A5" i="4"/>
  <c r="L9" i="4" l="1"/>
  <c r="L5" i="4"/>
  <c r="M10" i="8"/>
  <c r="N10" i="8" s="1"/>
  <c r="M9" i="8"/>
  <c r="N9" i="8" s="1"/>
  <c r="L6" i="4"/>
  <c r="L10" i="4"/>
  <c r="L15" i="8"/>
  <c r="L6" i="1"/>
  <c r="G3" i="1"/>
  <c r="N15" i="8" l="1"/>
  <c r="N14" i="8"/>
  <c r="N5" i="8" s="1"/>
  <c r="N13" i="8"/>
  <c r="M6" i="8"/>
  <c r="P5" i="8"/>
  <c r="Q5" i="4"/>
  <c r="L14" i="4"/>
  <c r="Q14" i="4" s="1"/>
  <c r="P6" i="8"/>
  <c r="Q6" i="8" s="1"/>
  <c r="Q6" i="4"/>
  <c r="Q9" i="4"/>
  <c r="P9" i="8"/>
  <c r="L13" i="4"/>
  <c r="P10" i="8"/>
  <c r="Q10" i="8" s="1"/>
  <c r="N6" i="8" l="1"/>
  <c r="P14" i="8"/>
  <c r="Q5" i="8"/>
  <c r="P15" i="8"/>
  <c r="P13" i="8"/>
  <c r="Q9" i="8"/>
  <c r="O14" i="8" l="1"/>
  <c r="Q14" i="8"/>
  <c r="O13" i="8"/>
  <c r="Q13" i="8"/>
  <c r="Q15" i="8"/>
  <c r="B3" i="1"/>
  <c r="L14" i="1" l="1"/>
  <c r="B44" i="1"/>
  <c r="L13" i="1"/>
  <c r="K4" i="7" l="1"/>
  <c r="J4" i="7"/>
  <c r="I4" i="7"/>
  <c r="H4" i="7"/>
  <c r="K12" i="7"/>
  <c r="J12" i="7"/>
  <c r="I12" i="7"/>
  <c r="K11" i="7"/>
  <c r="J11" i="7"/>
  <c r="I11" i="7"/>
  <c r="K10" i="7"/>
  <c r="J10" i="7"/>
  <c r="I10" i="7"/>
  <c r="K9" i="7"/>
  <c r="J9" i="7"/>
  <c r="I9" i="7"/>
  <c r="K8" i="7"/>
  <c r="J8" i="7"/>
  <c r="I8" i="7"/>
  <c r="K7" i="7"/>
  <c r="J7" i="7"/>
  <c r="I7" i="7"/>
  <c r="K6" i="7"/>
  <c r="J6" i="7"/>
  <c r="I6" i="7"/>
  <c r="K5" i="7"/>
  <c r="J5" i="7"/>
  <c r="I5" i="7"/>
  <c r="H12" i="7"/>
  <c r="H11" i="7"/>
  <c r="H10" i="7"/>
  <c r="H9" i="7"/>
  <c r="H8" i="7"/>
  <c r="H7" i="7"/>
  <c r="H6" i="7"/>
  <c r="H5" i="7"/>
  <c r="F4" i="7" l="1"/>
  <c r="F6" i="7"/>
  <c r="F5" i="7"/>
  <c r="F8" i="7"/>
  <c r="F7" i="7"/>
  <c r="F10" i="7" l="1"/>
  <c r="F9" i="7"/>
  <c r="F12" i="7"/>
  <c r="F11" i="7"/>
  <c r="H13" i="7" l="1"/>
  <c r="I13" i="7"/>
  <c r="J13" i="7"/>
  <c r="K13" i="7"/>
  <c r="M17" i="2" l="1"/>
  <c r="M10" i="5"/>
  <c r="M9" i="5"/>
  <c r="M6" i="5"/>
  <c r="M5" i="5"/>
  <c r="L14" i="5"/>
  <c r="L13" i="5"/>
  <c r="L6" i="5"/>
  <c r="L10" i="5" l="1"/>
  <c r="L15" i="5"/>
  <c r="L5" i="5"/>
  <c r="N13" i="5" l="1"/>
  <c r="N10" i="5" s="1"/>
  <c r="N14" i="5"/>
  <c r="N9" i="5" l="1"/>
  <c r="N15" i="5"/>
  <c r="N6" i="5"/>
  <c r="N5" i="5"/>
  <c r="P9" i="4" l="1"/>
  <c r="P5" i="4"/>
  <c r="N14" i="2"/>
  <c r="N13" i="2"/>
  <c r="M10" i="2"/>
  <c r="M9" i="2"/>
  <c r="L10" i="2"/>
  <c r="L9" i="2"/>
  <c r="M6" i="2"/>
  <c r="M5" i="2"/>
  <c r="L6" i="2"/>
  <c r="L5" i="2"/>
  <c r="L13" i="2"/>
  <c r="L15" i="2" s="1"/>
  <c r="L14" i="2"/>
  <c r="B2" i="2"/>
  <c r="N6" i="2" l="1"/>
  <c r="N10" i="2" l="1"/>
  <c r="N15" i="2"/>
  <c r="N9" i="2"/>
  <c r="N5" i="2"/>
  <c r="H2" i="2" l="1"/>
  <c r="L9" i="1" l="1"/>
  <c r="L10" i="1"/>
  <c r="P10" i="4" s="1"/>
  <c r="Q10" i="4" s="1"/>
  <c r="M10" i="1" l="1"/>
  <c r="M9" i="1"/>
  <c r="D2" i="1"/>
  <c r="N14" i="1" s="1"/>
  <c r="M5" i="1"/>
  <c r="P13" i="4" l="1"/>
  <c r="Q13" i="4" s="1"/>
  <c r="N5" i="1"/>
  <c r="L15" i="1"/>
  <c r="M17" i="1" s="1"/>
  <c r="N13" i="1"/>
  <c r="N15" i="1" s="1"/>
  <c r="M6" i="1"/>
  <c r="N6" i="1" s="1"/>
  <c r="P6" i="4"/>
  <c r="N9" i="1" l="1"/>
  <c r="N10" i="1"/>
  <c r="P15" i="4"/>
  <c r="O13" i="4"/>
  <c r="M9" i="4"/>
  <c r="P14" i="4"/>
  <c r="O15" i="4" l="1"/>
  <c r="M10" i="4"/>
  <c r="O14" i="4"/>
  <c r="M6" i="4"/>
  <c r="M5" i="4" l="1"/>
  <c r="L15" i="4"/>
  <c r="O15" i="8" s="1"/>
  <c r="N13" i="4" l="1"/>
  <c r="N9" i="4" s="1"/>
  <c r="Q15" i="4"/>
  <c r="N14" i="4"/>
  <c r="N10" i="4" l="1"/>
  <c r="N15" i="4"/>
  <c r="N6" i="4"/>
  <c r="N5" i="4"/>
  <c r="E15" i="9" l="1"/>
  <c r="D15" i="9"/>
  <c r="C15" i="9"/>
  <c r="B15" i="9"/>
  <c r="B15" i="10" l="1"/>
  <c r="F15" i="9"/>
  <c r="H15" i="9" s="1"/>
  <c r="E15" i="10"/>
  <c r="C15" i="10"/>
  <c r="I15" i="9"/>
  <c r="D15" i="10"/>
  <c r="J15" i="9"/>
  <c r="J20" i="9" s="1"/>
  <c r="K15" i="9" l="1"/>
  <c r="K20" i="9" s="1"/>
  <c r="F15" i="10"/>
  <c r="H15" i="10" s="1"/>
  <c r="K15" i="10" l="1"/>
  <c r="J15" i="10"/>
  <c r="I15" i="10"/>
  <c r="E14" i="7" l="1"/>
  <c r="B14" i="7"/>
  <c r="D14" i="7"/>
  <c r="C14" i="7"/>
  <c r="D20" i="7" l="1"/>
  <c r="E20" i="7"/>
  <c r="F14" i="7"/>
  <c r="F20" i="7" s="1"/>
  <c r="B20" i="7"/>
  <c r="C20" i="7"/>
  <c r="J14" i="7" l="1"/>
  <c r="J20" i="7" s="1"/>
  <c r="K14" i="7"/>
  <c r="K20" i="7" s="1"/>
  <c r="I14" i="7"/>
  <c r="I20" i="7" s="1"/>
  <c r="H14" i="7"/>
  <c r="H20" i="7" s="1"/>
  <c r="B14" i="9" l="1"/>
  <c r="C14" i="9"/>
  <c r="D14" i="9"/>
  <c r="E14" i="9"/>
  <c r="C20" i="9" l="1"/>
  <c r="C14" i="10"/>
  <c r="E20" i="9"/>
  <c r="E14" i="10"/>
  <c r="E20" i="10" s="1"/>
  <c r="D20" i="9"/>
  <c r="J14" i="9"/>
  <c r="D14" i="10"/>
  <c r="B20" i="9"/>
  <c r="F14" i="9"/>
  <c r="B14" i="10"/>
  <c r="D20" i="10" l="1"/>
  <c r="C20" i="10"/>
  <c r="F14" i="10"/>
  <c r="I14" i="10" s="1"/>
  <c r="B20" i="10"/>
  <c r="K14" i="9"/>
  <c r="F20" i="9"/>
  <c r="I14" i="9"/>
  <c r="I20" i="9" s="1"/>
  <c r="H14" i="9"/>
  <c r="H20" i="9" s="1"/>
  <c r="H14" i="10" l="1"/>
  <c r="K14" i="10"/>
  <c r="F20" i="10"/>
  <c r="K20" i="10" s="1"/>
  <c r="J14" i="10"/>
  <c r="J20" i="10" l="1"/>
  <c r="H20" i="10"/>
  <c r="I20" i="10"/>
</calcChain>
</file>

<file path=xl/comments1.xml><?xml version="1.0" encoding="utf-8"?>
<comments xmlns="http://schemas.openxmlformats.org/spreadsheetml/2006/main">
  <authors>
    <author>JOSE MANUEL</author>
  </authors>
  <commentList>
    <comment ref="A5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A6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A12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</commentList>
</comments>
</file>

<file path=xl/comments2.xml><?xml version="1.0" encoding="utf-8"?>
<comments xmlns="http://schemas.openxmlformats.org/spreadsheetml/2006/main">
  <authors>
    <author>JOSE MANUEL</author>
  </authors>
  <commentList>
    <comment ref="A4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A5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A6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A7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A8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</commentList>
</comments>
</file>

<file path=xl/comments3.xml><?xml version="1.0" encoding="utf-8"?>
<comments xmlns="http://schemas.openxmlformats.org/spreadsheetml/2006/main">
  <authors>
    <author>JOSE MANUEL</author>
  </authors>
  <commentList>
    <comment ref="F5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F6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F7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F8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F9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</commentList>
</comments>
</file>

<file path=xl/comments4.xml><?xml version="1.0" encoding="utf-8"?>
<comments xmlns="http://schemas.openxmlformats.org/spreadsheetml/2006/main">
  <authors>
    <author>JOSE MANUEL</author>
  </authors>
  <commentList>
    <comment ref="A5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A6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A7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A8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A9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A10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A11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A12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A13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A14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A15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A16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A17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A18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A19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A20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A21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A22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A23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A24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A25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A26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A27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A28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A29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A30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A31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A32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A33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A34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A35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A36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A37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A38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A39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  <comment ref="A40" authorId="0">
      <text>
        <r>
          <rPr>
            <b/>
            <sz val="10"/>
            <color indexed="81"/>
            <rFont val="Tahoma"/>
            <family val="2"/>
          </rPr>
          <t>José Manuel ("Jose COEV"):</t>
        </r>
        <r>
          <rPr>
            <sz val="10"/>
            <color indexed="81"/>
            <rFont val="Tahoma"/>
            <family val="2"/>
          </rPr>
          <t xml:space="preserve">
"He añadido una validación con todos los clientes que se van incorporando en la hoja CLIENTES."
----------------
Recomendable para adaptar a lo que pide el Modelo 347: “se consignará el primer apellido, el segundo apellido y el nombre completo, en este mismo orden”.
-----------
</t>
        </r>
        <r>
          <rPr>
            <b/>
            <sz val="10"/>
            <color indexed="81"/>
            <rFont val="Tahoma"/>
            <family val="2"/>
          </rPr>
          <t>Ctl+Mayúsc+C</t>
        </r>
        <r>
          <rPr>
            <sz val="10"/>
            <color indexed="81"/>
            <rFont val="Tahoma"/>
            <family val="2"/>
          </rPr>
          <t xml:space="preserve">
Dar de alta cliente actual, para facilitar posterior introducción del mismo.
Esta macro pasa Nombre y NIF a hoja CLIENTES.
Faltaría cubrir Provincia (columna C), sólo relevante en el caso de que este cliente deba ir al Modelo 347.</t>
        </r>
      </text>
    </comment>
  </commentList>
</comments>
</file>

<file path=xl/sharedStrings.xml><?xml version="1.0" encoding="utf-8"?>
<sst xmlns="http://schemas.openxmlformats.org/spreadsheetml/2006/main" count="502" uniqueCount="148">
  <si>
    <t>CPS</t>
  </si>
  <si>
    <t>COBRADA</t>
  </si>
  <si>
    <t>cOBRADA</t>
  </si>
  <si>
    <t>PEND. COBRO</t>
  </si>
  <si>
    <t>A EMITIR</t>
  </si>
  <si>
    <t>TRAZIA</t>
  </si>
  <si>
    <t>KONE ELEVADORES, S.A.</t>
  </si>
  <si>
    <t>COLEGIO TERRITORIAL</t>
  </si>
  <si>
    <t>C.P. AVDA. NARANJOS, 43</t>
  </si>
  <si>
    <t>C.P. CARD BENLLOCH 37 MISL</t>
  </si>
  <si>
    <t>KONE</t>
  </si>
  <si>
    <t>RESTO</t>
  </si>
  <si>
    <t>LAURA FERRER FERNANDEZ</t>
  </si>
  <si>
    <t>JULIA HERNANDEZ BALLESTERO</t>
  </si>
  <si>
    <t>CDAD. PROP. CADIZ 77</t>
  </si>
  <si>
    <t>CDAD. PROP. JUNIPERO SERRA 45</t>
  </si>
  <si>
    <t>PASTOR Y GONZALEZ CONSULTORES S,.L.</t>
  </si>
  <si>
    <t>THE SEA WASP MKT S.L.</t>
  </si>
  <si>
    <t>C.P. ZAMENHOF 9</t>
  </si>
  <si>
    <t xml:space="preserve">MANOLO GIL, 4 </t>
  </si>
  <si>
    <t>AVDA. PUERTO 222</t>
  </si>
  <si>
    <t>CRISTO GRAO 8</t>
  </si>
  <si>
    <t>HPR ARQUITECTURA E INGENIERIA</t>
  </si>
  <si>
    <t>SAN ANDRES, 41</t>
  </si>
  <si>
    <t>SEA WASP</t>
  </si>
  <si>
    <t>RATIO S/ FACTURACION TOTAL</t>
  </si>
  <si>
    <t>FACTURACION</t>
  </si>
  <si>
    <t>RATIO</t>
  </si>
  <si>
    <t>LINEAS DE NEGOCIO</t>
  </si>
  <si>
    <t>FACTURACIÓN</t>
  </si>
  <si>
    <t>COLEGIO TERRITORIAL DE ARQUITECTOS DE VALENCIA</t>
  </si>
  <si>
    <t>CDAD. PROP. C/ MALLENT I MERI 113</t>
  </si>
  <si>
    <t>CDAD. PROP. C/ SOTAVENTO 5</t>
  </si>
  <si>
    <t>CDAD. PROP. C/ ENEBRO 4</t>
  </si>
  <si>
    <t>CDAD. PROP. JUSTO Y PASTOR 37-39</t>
  </si>
  <si>
    <t>ANDRES CENTELLES GUAITA</t>
  </si>
  <si>
    <t>CDAD. PROP. FCO. MORENO USEDO, 3</t>
  </si>
  <si>
    <t>CDAD. PROP. C/ SOTAVENTO 11</t>
  </si>
  <si>
    <t>CDAD. PROP. RAMON Y CAJAL 32</t>
  </si>
  <si>
    <t>CDAD. PROP. HISTORIADOR DIAGO 9</t>
  </si>
  <si>
    <t>CDAD. PROP. C/ HISTORIADOR DIAGO, 2</t>
  </si>
  <si>
    <t>CDAD. PROP. VIRGEN MONTIEL, 46</t>
  </si>
  <si>
    <t>CDAD. PROP. ZAMEHOF 9</t>
  </si>
  <si>
    <t>PILAR GARCIA CASTELLANO</t>
  </si>
  <si>
    <t>CDAD. PROP. PERIODISTA LLORENTE 9</t>
  </si>
  <si>
    <t>CDAD. PROP. ENEBRO 4 PATERNA</t>
  </si>
  <si>
    <t>CDAD. PROP. S. JOSE CALASANZ 21</t>
  </si>
  <si>
    <t>CDAD. PROP. PINTOR STOLZ, 30</t>
  </si>
  <si>
    <t>CDAD, PROP. SOTAVENTO 5</t>
  </si>
  <si>
    <t>MARIO JOSE RIERA VIDAL</t>
  </si>
  <si>
    <t>C.P. NOU BENICALAP</t>
  </si>
  <si>
    <t>C.P. RAMON Y CAJAL 49</t>
  </si>
  <si>
    <t>C.P. DR. ZAMENHOF 9</t>
  </si>
  <si>
    <t>CDAD. PROP. SAN PANCRACIO 12 GAREJES</t>
  </si>
  <si>
    <t>SOCIEDAD HOTELERA</t>
  </si>
  <si>
    <t>CDAD. PROP. MARIA LLACER, 3</t>
  </si>
  <si>
    <t xml:space="preserve">CDAD. PROP. HISTORIADOR DIAGO, </t>
  </si>
  <si>
    <t>CDAD. PROP. FCO MORENO USEDO, 3</t>
  </si>
  <si>
    <t>CDAD. PROP. CALIXTO III - 9</t>
  </si>
  <si>
    <t>CLIVE KEMPE</t>
  </si>
  <si>
    <t>CDAD. PROP. STOS. JUSTO Y PASTOR 37-39</t>
  </si>
  <si>
    <t>CDAD. PROP. ZAMENENHOFF 9</t>
  </si>
  <si>
    <t>CDAD. PROP. C/ ALMACERA, 4</t>
  </si>
  <si>
    <t>CDAD. PROP. SOTAVENTO 11 EL PERELLONET</t>
  </si>
  <si>
    <t xml:space="preserve">CDAD. PROP. VIRGEN MONTIEL 46 </t>
  </si>
  <si>
    <t>ROSA OLASO GARCÍA</t>
  </si>
  <si>
    <t>ANTONIO CANTÓ ARMENGOD</t>
  </si>
  <si>
    <t>CDAD. PROP TROYA 10</t>
  </si>
  <si>
    <t>CURA FEMENIA 13</t>
  </si>
  <si>
    <t>GREGORIO MAYANS 4</t>
  </si>
  <si>
    <t>EVA GONZALEZ</t>
  </si>
  <si>
    <t>ROSA OLASO</t>
  </si>
  <si>
    <t>CDAD. PROP. BARLOVENTO 2 EL PERELLONET</t>
  </si>
  <si>
    <t>CDAD. PROP. ALFONSO X EL SABIO 22</t>
  </si>
  <si>
    <t>CDAD. PROP. HISTORIADOR DIAGO 2</t>
  </si>
  <si>
    <t>CDAD. PROP. CÁDIZ 72</t>
  </si>
  <si>
    <t>the 8 architects corner s.l.p.</t>
  </si>
  <si>
    <t>jose mariano atienza estal</t>
  </si>
  <si>
    <t>david melendro sanchez</t>
  </si>
  <si>
    <t>fernando ortola bay</t>
  </si>
  <si>
    <t>ctav</t>
  </si>
  <si>
    <t>eva maria navarro navarro</t>
  </si>
  <si>
    <t>incremento</t>
  </si>
  <si>
    <t>1t</t>
  </si>
  <si>
    <t>2t</t>
  </si>
  <si>
    <t>3t</t>
  </si>
  <si>
    <t>4t</t>
  </si>
  <si>
    <t>total</t>
  </si>
  <si>
    <t>HISTORICO FACTURACION CPS</t>
  </si>
  <si>
    <t>PESOS RELATIVOS</t>
  </si>
  <si>
    <t>2014(*)</t>
  </si>
  <si>
    <t>2015(*)</t>
  </si>
  <si>
    <t>(*) incluye sea wasp mkt, s.l.</t>
  </si>
  <si>
    <t>CDAD. PROP. C/ SAN VICENTE 222</t>
  </si>
  <si>
    <t>EMITIDA</t>
  </si>
  <si>
    <t>FACTURACION REAL</t>
  </si>
  <si>
    <t>RELACIÓN REAL/OBJETIVO</t>
  </si>
  <si>
    <t>OBJETIVO PREVISTO 2016</t>
  </si>
  <si>
    <t>INCREMENTO PREVISTO EN 2016</t>
  </si>
  <si>
    <t>OBJETIVO PREVISTO 2017</t>
  </si>
  <si>
    <t>INCREMENTO PREVISTO EN 2017</t>
  </si>
  <si>
    <t>(**) incluye sea wasp y su sucesor</t>
  </si>
  <si>
    <t>Garchitorena, s.l.</t>
  </si>
  <si>
    <t>Cdad. Prop. S Fco. Borja, 8</t>
  </si>
  <si>
    <t>Cdad. Prop. Almacera, 4</t>
  </si>
  <si>
    <t>cdad. prop. joaquin marin 32 y otros</t>
  </si>
  <si>
    <t>cdad. prop. c/ cura femenia, 20</t>
  </si>
  <si>
    <t>CDAD PROP. C/ MALAGA 21</t>
  </si>
  <si>
    <t>cdad. prop. magnolias 4</t>
  </si>
  <si>
    <t>cdad. prop. cedro, 12</t>
  </si>
  <si>
    <t>cdad. prop. jose maria peman 1</t>
  </si>
  <si>
    <t>CDAD. PROP. MENDIZABAL, 27</t>
  </si>
  <si>
    <t>CDAD. PROP. FERNANDO SASTRE 14</t>
  </si>
  <si>
    <t>CDAD PROP. EXPL. ANDRES 6 IEE</t>
  </si>
  <si>
    <t>cdad. prop. g.v. ramon y cajal 32</t>
  </si>
  <si>
    <t>cdad.prop. s. fco. Borja 8</t>
  </si>
  <si>
    <t>REFORMAS RODE SL</t>
  </si>
  <si>
    <t>marvi ascensores, s.l.</t>
  </si>
  <si>
    <t>colegio territorial arquitectos</t>
  </si>
  <si>
    <t>cdad. prop. c/ villamarchante 1</t>
  </si>
  <si>
    <t>MEROFARO, S.L.</t>
  </si>
  <si>
    <t>cdad. prop. rvdo fdo cubells 9</t>
  </si>
  <si>
    <t>CDAD. PROP. VICENTE SALVATIERRA 5</t>
  </si>
  <si>
    <t>cdad. prop. MUSICO PEYDRO 7</t>
  </si>
  <si>
    <t>ccpp fco cubells 27</t>
  </si>
  <si>
    <t>MARVI ASCENSORES, S.L.</t>
  </si>
  <si>
    <t>CCPP BELLAVISTA</t>
  </si>
  <si>
    <t>proyectos y realidades en promociones, s.l</t>
  </si>
  <si>
    <t>CDAD. PROP. C/ ALMACERA 4</t>
  </si>
  <si>
    <t>Maria Desamparados Berenguer</t>
  </si>
  <si>
    <t>cdad. prop. buenavista II-III</t>
  </si>
  <si>
    <t>GARCHIT</t>
  </si>
  <si>
    <t>PROMEDIO 2007-2017</t>
  </si>
  <si>
    <t>CONSTRUCCIONES AVIA, S.L.</t>
  </si>
  <si>
    <t>FRANCISCO MOLTÓ LACROIX</t>
  </si>
  <si>
    <t>C.P. PEDRO VALENCIA 22</t>
  </si>
  <si>
    <t>C.P. AV. PUERTO 222</t>
  </si>
  <si>
    <t>C.P. AV.NARANJOS 43</t>
  </si>
  <si>
    <t xml:space="preserve">C.P. SANTO DOMINGO 6 </t>
  </si>
  <si>
    <t>C.P. MAGNOLIAS, 4</t>
  </si>
  <si>
    <t>C.P. SAN ANDRES, 41</t>
  </si>
  <si>
    <t>C.P. PORTUGAL 5-7 GARAJES</t>
  </si>
  <si>
    <t>C.P. PUEBLA VALVERDE 6</t>
  </si>
  <si>
    <t>C.P. ALMACERA, 4</t>
  </si>
  <si>
    <t>HISTORICO FACTURACION TRAZIA</t>
  </si>
  <si>
    <t>PROMEDIO 2015-2017</t>
  </si>
  <si>
    <t xml:space="preserve">HISTORICO FACTURACION </t>
  </si>
  <si>
    <t>PROMEDIO 2006-2017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</si>
</sst>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Arial"/>
      <family val="2"/>
    </font>
    <font>
      <b/>
      <u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33"/>
      <name val="Verdana"/>
      <family val="2"/>
    </font>
    <font>
      <sz val="10"/>
      <name val="Arial"/>
      <family val="2"/>
      <charset val="1"/>
    </font>
    <font>
      <sz val="8"/>
      <color theme="0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5" fillId="0" borderId="0"/>
  </cellStyleXfs>
  <cellXfs count="98">
    <xf numFmtId="0" fontId="0" fillId="0" borderId="0" xfId="0"/>
    <xf numFmtId="4" fontId="3" fillId="0" borderId="1" xfId="0" applyNumberFormat="1" applyFont="1" applyFill="1" applyBorder="1" applyAlignment="1" applyProtection="1">
      <alignment vertical="top"/>
      <protection locked="0" hidden="1"/>
    </xf>
    <xf numFmtId="0" fontId="4" fillId="0" borderId="0" xfId="0" applyFont="1" applyProtection="1">
      <protection hidden="1"/>
    </xf>
    <xf numFmtId="0" fontId="4" fillId="0" borderId="0" xfId="0" applyFont="1" applyFill="1" applyProtection="1">
      <protection hidden="1"/>
    </xf>
    <xf numFmtId="4" fontId="3" fillId="0" borderId="2" xfId="0" applyNumberFormat="1" applyFont="1" applyFill="1" applyBorder="1" applyAlignment="1" applyProtection="1">
      <alignment vertical="top"/>
      <protection locked="0" hidden="1"/>
    </xf>
    <xf numFmtId="4" fontId="0" fillId="0" borderId="0" xfId="0" applyNumberFormat="1"/>
    <xf numFmtId="4" fontId="2" fillId="0" borderId="0" xfId="0" applyNumberFormat="1" applyFont="1"/>
    <xf numFmtId="44" fontId="0" fillId="0" borderId="0" xfId="1" applyFont="1"/>
    <xf numFmtId="0" fontId="4" fillId="2" borderId="1" xfId="3" applyFont="1" applyFill="1" applyBorder="1" applyAlignment="1" applyProtection="1">
      <alignment vertical="top"/>
      <protection locked="0" hidden="1"/>
    </xf>
    <xf numFmtId="0" fontId="4" fillId="0" borderId="0" xfId="3" applyFont="1" applyProtection="1">
      <protection hidden="1"/>
    </xf>
    <xf numFmtId="0" fontId="4" fillId="0" borderId="0" xfId="3" applyFont="1" applyFill="1" applyProtection="1">
      <protection hidden="1"/>
    </xf>
    <xf numFmtId="0" fontId="9" fillId="0" borderId="0" xfId="0" applyFont="1"/>
    <xf numFmtId="4" fontId="9" fillId="0" borderId="0" xfId="0" applyNumberFormat="1" applyFont="1"/>
    <xf numFmtId="9" fontId="9" fillId="0" borderId="0" xfId="2" applyFont="1"/>
    <xf numFmtId="0" fontId="4" fillId="2" borderId="1" xfId="0" applyFont="1" applyFill="1" applyBorder="1" applyAlignment="1" applyProtection="1">
      <alignment vertical="top"/>
      <protection locked="0" hidden="1"/>
    </xf>
    <xf numFmtId="0" fontId="4" fillId="0" borderId="1" xfId="0" applyFont="1" applyFill="1" applyBorder="1" applyAlignment="1" applyProtection="1">
      <alignment vertical="top"/>
      <protection locked="0" hidden="1"/>
    </xf>
    <xf numFmtId="44" fontId="9" fillId="0" borderId="0" xfId="0" applyNumberFormat="1" applyFont="1"/>
    <xf numFmtId="9" fontId="9" fillId="0" borderId="0" xfId="0" applyNumberFormat="1" applyFont="1"/>
    <xf numFmtId="0" fontId="10" fillId="0" borderId="0" xfId="0" applyFont="1"/>
    <xf numFmtId="0" fontId="11" fillId="0" borderId="0" xfId="3" applyFont="1" applyProtection="1">
      <protection hidden="1"/>
    </xf>
    <xf numFmtId="0" fontId="11" fillId="0" borderId="0" xfId="3" applyFont="1" applyFill="1" applyProtection="1">
      <protection hidden="1"/>
    </xf>
    <xf numFmtId="4" fontId="11" fillId="0" borderId="0" xfId="3" applyNumberFormat="1" applyFont="1" applyFill="1" applyProtection="1">
      <protection hidden="1"/>
    </xf>
    <xf numFmtId="0" fontId="11" fillId="0" borderId="0" xfId="0" applyFont="1" applyProtection="1">
      <protection hidden="1"/>
    </xf>
    <xf numFmtId="0" fontId="11" fillId="0" borderId="0" xfId="0" applyFont="1" applyFill="1" applyProtection="1">
      <protection hidden="1"/>
    </xf>
    <xf numFmtId="44" fontId="8" fillId="0" borderId="0" xfId="1" applyFont="1"/>
    <xf numFmtId="0" fontId="9" fillId="0" borderId="0" xfId="0" applyFont="1" applyAlignment="1">
      <alignment horizontal="right" vertical="top" wrapText="1"/>
    </xf>
    <xf numFmtId="0" fontId="12" fillId="0" borderId="0" xfId="0" applyFont="1"/>
    <xf numFmtId="0" fontId="4" fillId="0" borderId="0" xfId="0" applyFont="1" applyFill="1" applyBorder="1" applyAlignment="1" applyProtection="1">
      <alignment vertical="top"/>
      <protection locked="0" hidden="1"/>
    </xf>
    <xf numFmtId="4" fontId="4" fillId="0" borderId="0" xfId="0" applyNumberFormat="1" applyFont="1" applyFill="1" applyBorder="1" applyAlignment="1" applyProtection="1">
      <alignment vertical="top"/>
      <protection locked="0" hidden="1"/>
    </xf>
    <xf numFmtId="4" fontId="4" fillId="0" borderId="1" xfId="0" applyNumberFormat="1" applyFont="1" applyFill="1" applyBorder="1" applyAlignment="1" applyProtection="1">
      <alignment vertical="top"/>
      <protection locked="0" hidden="1"/>
    </xf>
    <xf numFmtId="164" fontId="9" fillId="0" borderId="0" xfId="2" applyNumberFormat="1" applyFont="1"/>
    <xf numFmtId="164" fontId="9" fillId="0" borderId="0" xfId="0" applyNumberFormat="1" applyFont="1"/>
    <xf numFmtId="9" fontId="13" fillId="0" borderId="0" xfId="2" applyFont="1"/>
    <xf numFmtId="10" fontId="9" fillId="0" borderId="0" xfId="2" applyNumberFormat="1" applyFont="1"/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14" fillId="0" borderId="0" xfId="0" applyFont="1"/>
    <xf numFmtId="10" fontId="13" fillId="0" borderId="0" xfId="2" applyNumberFormat="1" applyFont="1"/>
    <xf numFmtId="0" fontId="9" fillId="0" borderId="3" xfId="0" applyFont="1" applyBorder="1" applyAlignment="1">
      <alignment horizontal="center"/>
    </xf>
    <xf numFmtId="44" fontId="9" fillId="0" borderId="0" xfId="1" applyFont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4" xfId="0" applyFont="1" applyBorder="1"/>
    <xf numFmtId="0" fontId="9" fillId="0" borderId="0" xfId="0" applyFont="1" applyAlignment="1">
      <alignment wrapText="1"/>
    </xf>
    <xf numFmtId="0" fontId="9" fillId="0" borderId="0" xfId="0" applyFont="1" applyFill="1" applyBorder="1" applyAlignment="1">
      <alignment horizontal="left"/>
    </xf>
    <xf numFmtId="9" fontId="16" fillId="0" borderId="0" xfId="2" applyFont="1"/>
    <xf numFmtId="44" fontId="16" fillId="0" borderId="0" xfId="1" applyFont="1" applyAlignment="1">
      <alignment horizontal="right"/>
    </xf>
    <xf numFmtId="0" fontId="9" fillId="0" borderId="4" xfId="0" applyFont="1" applyBorder="1" applyAlignment="1">
      <alignment horizontal="right"/>
    </xf>
    <xf numFmtId="4" fontId="4" fillId="0" borderId="2" xfId="3" applyNumberFormat="1" applyFont="1" applyFill="1" applyBorder="1" applyAlignment="1" applyProtection="1">
      <alignment vertical="top"/>
      <protection locked="0" hidden="1"/>
    </xf>
    <xf numFmtId="4" fontId="4" fillId="0" borderId="0" xfId="3" applyNumberFormat="1" applyFont="1" applyProtection="1">
      <protection hidden="1"/>
    </xf>
    <xf numFmtId="4" fontId="4" fillId="0" borderId="0" xfId="3" applyNumberFormat="1" applyFont="1" applyFill="1" applyProtection="1">
      <protection hidden="1"/>
    </xf>
    <xf numFmtId="4" fontId="4" fillId="0" borderId="1" xfId="3" applyNumberFormat="1" applyFont="1" applyFill="1" applyBorder="1" applyAlignment="1" applyProtection="1">
      <alignment vertical="top"/>
      <protection locked="0" hidden="1"/>
    </xf>
    <xf numFmtId="0" fontId="17" fillId="0" borderId="0" xfId="0" applyFont="1"/>
    <xf numFmtId="4" fontId="18" fillId="0" borderId="0" xfId="0" applyNumberFormat="1" applyFont="1"/>
    <xf numFmtId="9" fontId="0" fillId="0" borderId="0" xfId="2" applyNumberFormat="1" applyFont="1"/>
    <xf numFmtId="0" fontId="19" fillId="2" borderId="1" xfId="0" applyFont="1" applyFill="1" applyBorder="1" applyAlignment="1" applyProtection="1">
      <alignment vertical="top"/>
      <protection locked="0" hidden="1"/>
    </xf>
    <xf numFmtId="4" fontId="20" fillId="0" borderId="1" xfId="0" applyNumberFormat="1" applyFont="1" applyFill="1" applyBorder="1" applyAlignment="1" applyProtection="1">
      <alignment vertical="top"/>
      <protection locked="0" hidden="1"/>
    </xf>
    <xf numFmtId="17" fontId="4" fillId="0" borderId="0" xfId="0" applyNumberFormat="1" applyFont="1" applyFill="1" applyProtection="1">
      <protection hidden="1"/>
    </xf>
    <xf numFmtId="0" fontId="9" fillId="0" borderId="0" xfId="0" applyFont="1" applyBorder="1" applyAlignment="1">
      <alignment horizontal="right"/>
    </xf>
    <xf numFmtId="44" fontId="17" fillId="0" borderId="0" xfId="1" applyFont="1" applyAlignment="1">
      <alignment horizontal="right"/>
    </xf>
    <xf numFmtId="0" fontId="3" fillId="2" borderId="5" xfId="0" applyFont="1" applyFill="1" applyBorder="1" applyAlignment="1" applyProtection="1">
      <alignment vertical="top"/>
      <protection locked="0" hidden="1"/>
    </xf>
    <xf numFmtId="4" fontId="3" fillId="0" borderId="5" xfId="0" applyNumberFormat="1" applyFont="1" applyFill="1" applyBorder="1" applyAlignment="1" applyProtection="1">
      <alignment vertical="top"/>
      <protection locked="0" hidden="1"/>
    </xf>
    <xf numFmtId="0" fontId="3" fillId="2" borderId="0" xfId="0" applyFont="1" applyFill="1" applyBorder="1" applyAlignment="1" applyProtection="1">
      <alignment vertical="top"/>
      <protection locked="0" hidden="1"/>
    </xf>
    <xf numFmtId="4" fontId="3" fillId="0" borderId="0" xfId="0" applyNumberFormat="1" applyFont="1" applyFill="1" applyBorder="1" applyAlignment="1" applyProtection="1">
      <alignment vertical="top"/>
      <protection locked="0" hidden="1"/>
    </xf>
    <xf numFmtId="0" fontId="3" fillId="2" borderId="6" xfId="0" applyFont="1" applyFill="1" applyBorder="1" applyAlignment="1" applyProtection="1">
      <alignment vertical="top"/>
      <protection locked="0" hidden="1"/>
    </xf>
    <xf numFmtId="4" fontId="3" fillId="0" borderId="6" xfId="0" applyNumberFormat="1" applyFont="1" applyFill="1" applyBorder="1" applyAlignment="1" applyProtection="1">
      <alignment vertical="top"/>
      <protection locked="0" hidden="1"/>
    </xf>
    <xf numFmtId="0" fontId="3" fillId="2" borderId="1" xfId="0" applyFont="1" applyFill="1" applyBorder="1" applyAlignment="1" applyProtection="1">
      <alignment vertical="top"/>
      <protection locked="0" hidden="1"/>
    </xf>
    <xf numFmtId="0" fontId="3" fillId="0" borderId="1" xfId="0" applyNumberFormat="1" applyFont="1" applyFill="1" applyBorder="1" applyAlignment="1" applyProtection="1">
      <alignment vertical="top"/>
      <protection hidden="1"/>
    </xf>
    <xf numFmtId="0" fontId="3" fillId="0" borderId="1" xfId="0" applyFont="1" applyFill="1" applyBorder="1" applyAlignment="1" applyProtection="1">
      <alignment vertical="top"/>
      <protection locked="0" hidden="1"/>
    </xf>
    <xf numFmtId="0" fontId="3" fillId="0" borderId="5" xfId="0" applyFont="1" applyFill="1" applyBorder="1" applyAlignment="1" applyProtection="1">
      <alignment vertical="top"/>
      <protection locked="0" hidden="1"/>
    </xf>
    <xf numFmtId="0" fontId="5" fillId="0" borderId="0" xfId="0" applyFont="1" applyBorder="1"/>
    <xf numFmtId="0" fontId="5" fillId="0" borderId="0" xfId="0" applyFont="1"/>
    <xf numFmtId="0" fontId="5" fillId="0" borderId="1" xfId="0" applyFont="1" applyBorder="1"/>
    <xf numFmtId="0" fontId="0" fillId="0" borderId="0" xfId="0" applyFill="1" applyProtection="1">
      <protection hidden="1"/>
    </xf>
    <xf numFmtId="0" fontId="3" fillId="0" borderId="0" xfId="0" applyFont="1" applyFill="1" applyBorder="1" applyAlignment="1" applyProtection="1">
      <alignment vertical="top"/>
      <protection locked="0" hidden="1"/>
    </xf>
    <xf numFmtId="0" fontId="3" fillId="2" borderId="7" xfId="0" applyFont="1" applyFill="1" applyBorder="1" applyAlignment="1" applyProtection="1">
      <alignment vertical="top"/>
      <protection locked="0" hidden="1"/>
    </xf>
    <xf numFmtId="4" fontId="3" fillId="0" borderId="7" xfId="0" applyNumberFormat="1" applyFont="1" applyFill="1" applyBorder="1" applyAlignment="1" applyProtection="1">
      <alignment vertical="top"/>
      <protection locked="0" hidden="1"/>
    </xf>
    <xf numFmtId="0" fontId="3" fillId="0" borderId="7" xfId="3" applyFont="1" applyFill="1" applyBorder="1" applyAlignment="1" applyProtection="1">
      <alignment vertical="top"/>
      <protection locked="0" hidden="1"/>
    </xf>
    <xf numFmtId="0" fontId="20" fillId="0" borderId="7" xfId="3" applyFont="1" applyFill="1" applyBorder="1" applyAlignment="1" applyProtection="1">
      <alignment vertical="top"/>
      <protection locked="0" hidden="1"/>
    </xf>
    <xf numFmtId="0" fontId="20" fillId="2" borderId="7" xfId="0" applyFont="1" applyFill="1" applyBorder="1" applyAlignment="1" applyProtection="1">
      <alignment vertical="top"/>
      <protection locked="0" hidden="1"/>
    </xf>
    <xf numFmtId="0" fontId="20" fillId="0" borderId="7" xfId="0" applyFont="1" applyFill="1" applyBorder="1" applyAlignment="1" applyProtection="1">
      <alignment vertical="top"/>
      <protection locked="0" hidden="1"/>
    </xf>
    <xf numFmtId="44" fontId="3" fillId="0" borderId="7" xfId="0" applyNumberFormat="1" applyFont="1" applyFill="1" applyBorder="1" applyAlignment="1" applyProtection="1">
      <alignment vertical="top"/>
      <protection locked="0" hidden="1"/>
    </xf>
    <xf numFmtId="44" fontId="3" fillId="0" borderId="8" xfId="3" applyNumberFormat="1" applyFont="1" applyFill="1" applyBorder="1" applyAlignment="1" applyProtection="1">
      <alignment vertical="top"/>
      <protection locked="0" hidden="1"/>
    </xf>
    <xf numFmtId="44" fontId="3" fillId="0" borderId="8" xfId="0" applyNumberFormat="1" applyFont="1" applyFill="1" applyBorder="1" applyAlignment="1" applyProtection="1">
      <alignment vertical="top"/>
      <protection locked="0" hidden="1"/>
    </xf>
    <xf numFmtId="44" fontId="3" fillId="0" borderId="7" xfId="3" applyNumberFormat="1" applyFont="1" applyFill="1" applyBorder="1" applyAlignment="1" applyProtection="1">
      <alignment vertical="top"/>
      <protection locked="0" hidden="1"/>
    </xf>
    <xf numFmtId="44" fontId="3" fillId="0" borderId="7" xfId="0" applyNumberFormat="1" applyFont="1" applyBorder="1" applyProtection="1">
      <protection hidden="1"/>
    </xf>
    <xf numFmtId="44" fontId="0" fillId="0" borderId="7" xfId="0" applyNumberFormat="1" applyFill="1" applyBorder="1" applyProtection="1">
      <protection hidden="1"/>
    </xf>
    <xf numFmtId="44" fontId="3" fillId="0" borderId="0" xfId="0" applyNumberFormat="1" applyFont="1" applyFill="1" applyBorder="1" applyAlignment="1" applyProtection="1">
      <alignment vertical="top"/>
      <protection locked="0" hidden="1"/>
    </xf>
    <xf numFmtId="0" fontId="3" fillId="0" borderId="7" xfId="0" applyFont="1" applyFill="1" applyBorder="1" applyAlignment="1" applyProtection="1">
      <alignment vertical="top"/>
      <protection locked="0" hidden="1"/>
    </xf>
    <xf numFmtId="0" fontId="3" fillId="3" borderId="1" xfId="0" applyFont="1" applyFill="1" applyBorder="1" applyAlignment="1" applyProtection="1">
      <alignment vertical="top"/>
      <protection locked="0" hidden="1"/>
    </xf>
    <xf numFmtId="0" fontId="0" fillId="3" borderId="1" xfId="0" applyFill="1" applyBorder="1" applyProtection="1">
      <protection hidden="1"/>
    </xf>
    <xf numFmtId="4" fontId="3" fillId="3" borderId="1" xfId="0" applyNumberFormat="1" applyFont="1" applyFill="1" applyBorder="1" applyAlignment="1" applyProtection="1">
      <alignment vertical="top"/>
      <protection locked="0" hidden="1"/>
    </xf>
    <xf numFmtId="0" fontId="4" fillId="4" borderId="1" xfId="0" applyFont="1" applyFill="1" applyBorder="1" applyAlignment="1" applyProtection="1">
      <alignment vertical="top"/>
      <protection locked="0" hidden="1"/>
    </xf>
    <xf numFmtId="4" fontId="4" fillId="4" borderId="1" xfId="0" applyNumberFormat="1" applyFont="1" applyFill="1" applyBorder="1" applyAlignment="1" applyProtection="1">
      <alignment vertical="top"/>
      <protection locked="0" hidden="1"/>
    </xf>
    <xf numFmtId="0" fontId="4" fillId="5" borderId="1" xfId="0" applyFont="1" applyFill="1" applyBorder="1" applyAlignment="1" applyProtection="1">
      <alignment vertical="top"/>
      <protection locked="0" hidden="1"/>
    </xf>
    <xf numFmtId="4" fontId="4" fillId="5" borderId="1" xfId="0" applyNumberFormat="1" applyFont="1" applyFill="1" applyBorder="1" applyAlignment="1" applyProtection="1">
      <alignment vertical="top"/>
      <protection locked="0" hidden="1"/>
    </xf>
    <xf numFmtId="4" fontId="9" fillId="6" borderId="0" xfId="0" applyNumberFormat="1" applyFont="1" applyFill="1"/>
  </cellXfs>
  <cellStyles count="6">
    <cellStyle name="Excel Built-in Normal" xfId="5"/>
    <cellStyle name="Moneda" xfId="1" builtinId="4"/>
    <cellStyle name="Normal" xfId="0" builtinId="0"/>
    <cellStyle name="Normal 2" xfId="3"/>
    <cellStyle name="Porcentaje" xfId="2" builtinId="5"/>
    <cellStyle name="Porcentaje 2" xfId="4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9777599823574"/>
          <c:y val="0.16538743154878996"/>
          <c:w val="0.48353641227122829"/>
          <c:h val="0.66922459573266002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('2014'!$K$5:$K$6,'2014'!$K$9,'2014'!$K$10)</c:f>
              <c:strCache>
                <c:ptCount val="4"/>
                <c:pt idx="0">
                  <c:v>KONE</c:v>
                </c:pt>
                <c:pt idx="1">
                  <c:v>RESTO</c:v>
                </c:pt>
                <c:pt idx="2">
                  <c:v>SEA WASP</c:v>
                </c:pt>
                <c:pt idx="3">
                  <c:v>RESTO</c:v>
                </c:pt>
              </c:strCache>
            </c:strRef>
          </c:cat>
          <c:val>
            <c:numRef>
              <c:f>('2013'!$N$5,'2013'!$N$6,'2013'!$N$9,'2013'!$N$10)</c:f>
              <c:numCache>
                <c:formatCode>0%</c:formatCode>
                <c:ptCount val="4"/>
                <c:pt idx="0">
                  <c:v>0</c:v>
                </c:pt>
                <c:pt idx="1">
                  <c:v>0.23956282164812348</c:v>
                </c:pt>
                <c:pt idx="2">
                  <c:v>0</c:v>
                </c:pt>
                <c:pt idx="3">
                  <c:v>0.76043717835187663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9777599823574"/>
          <c:y val="0.16538743154878996"/>
          <c:w val="0.48353641227122829"/>
          <c:h val="0.66922459573266002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('2014'!$K$5:$K$6,'2014'!$K$9,'2014'!$K$10)</c:f>
              <c:strCache>
                <c:ptCount val="4"/>
                <c:pt idx="0">
                  <c:v>KONE</c:v>
                </c:pt>
                <c:pt idx="1">
                  <c:v>RESTO</c:v>
                </c:pt>
                <c:pt idx="2">
                  <c:v>SEA WASP</c:v>
                </c:pt>
                <c:pt idx="3">
                  <c:v>RESTO</c:v>
                </c:pt>
              </c:strCache>
            </c:strRef>
          </c:cat>
          <c:val>
            <c:numRef>
              <c:f>('2014'!$N$5,'2014'!$N$6,'2014'!$N$9,'2014'!$N$10)</c:f>
              <c:numCache>
                <c:formatCode>0%</c:formatCode>
                <c:ptCount val="4"/>
                <c:pt idx="0">
                  <c:v>0.36166971217332755</c:v>
                </c:pt>
                <c:pt idx="1">
                  <c:v>4.2802596625638949E-2</c:v>
                </c:pt>
                <c:pt idx="2">
                  <c:v>7.2764414263586222E-2</c:v>
                </c:pt>
                <c:pt idx="3">
                  <c:v>0.52276327693744729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9777599823574"/>
          <c:y val="0.16538743154878996"/>
          <c:w val="0.48353641227122829"/>
          <c:h val="0.66922459573266002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('2015'!$K$5:$K$6,'2015'!$K$9,'2015'!$K$10)</c:f>
              <c:strCache>
                <c:ptCount val="4"/>
                <c:pt idx="0">
                  <c:v>KONE</c:v>
                </c:pt>
                <c:pt idx="1">
                  <c:v>RESTO</c:v>
                </c:pt>
                <c:pt idx="2">
                  <c:v>SEA WASP</c:v>
                </c:pt>
                <c:pt idx="3">
                  <c:v>RESTO</c:v>
                </c:pt>
              </c:strCache>
            </c:strRef>
          </c:cat>
          <c:val>
            <c:numRef>
              <c:f>('2015'!$N$5,'2015'!$N$6,'2015'!$N$9,'2015'!$N$10)</c:f>
              <c:numCache>
                <c:formatCode>0%</c:formatCode>
                <c:ptCount val="4"/>
                <c:pt idx="0">
                  <c:v>0.50095514341451552</c:v>
                </c:pt>
                <c:pt idx="1">
                  <c:v>8.4411717855918542E-2</c:v>
                </c:pt>
                <c:pt idx="2">
                  <c:v>0.13505874856946964</c:v>
                </c:pt>
                <c:pt idx="3">
                  <c:v>0.27957439016009622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9777599823574"/>
          <c:y val="0.16538743154878996"/>
          <c:w val="0.48353641227122829"/>
          <c:h val="0.66922459573266002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('2016'!$K$5:$K$6,'2016'!$K$9,'2016'!$K$10)</c:f>
              <c:strCache>
                <c:ptCount val="4"/>
                <c:pt idx="0">
                  <c:v>KONE</c:v>
                </c:pt>
                <c:pt idx="1">
                  <c:v>RESTO</c:v>
                </c:pt>
                <c:pt idx="2">
                  <c:v>SEA WASP</c:v>
                </c:pt>
                <c:pt idx="3">
                  <c:v>RESTO</c:v>
                </c:pt>
              </c:strCache>
            </c:strRef>
          </c:cat>
          <c:val>
            <c:numRef>
              <c:f>('2016'!$N$5,'2016'!$N$6,'2016'!$N$9,'2016'!$N$10)</c:f>
              <c:numCache>
                <c:formatCode>0%</c:formatCode>
                <c:ptCount val="4"/>
                <c:pt idx="0">
                  <c:v>0.61839621851303983</c:v>
                </c:pt>
                <c:pt idx="1">
                  <c:v>0.18989907935848552</c:v>
                </c:pt>
                <c:pt idx="2">
                  <c:v>3.1630321669827939E-2</c:v>
                </c:pt>
                <c:pt idx="3">
                  <c:v>0.16007438045864666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9777599823574"/>
          <c:y val="0.16538743154878996"/>
          <c:w val="0.48353641227122829"/>
          <c:h val="0.66922459573266002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('2017'!$K$5:$K$6,'2017'!$K$9,'2017'!$K$10)</c:f>
              <c:strCache>
                <c:ptCount val="4"/>
                <c:pt idx="0">
                  <c:v>KONE</c:v>
                </c:pt>
                <c:pt idx="1">
                  <c:v>RESTO</c:v>
                </c:pt>
                <c:pt idx="2">
                  <c:v>GARCHIT</c:v>
                </c:pt>
                <c:pt idx="3">
                  <c:v>RESTO</c:v>
                </c:pt>
              </c:strCache>
            </c:strRef>
          </c:cat>
          <c:val>
            <c:numRef>
              <c:f>('2017'!$N$5,'2017'!$N$6,'2017'!$N$9,'2017'!$N$10)</c:f>
              <c:numCache>
                <c:formatCode>0%</c:formatCode>
                <c:ptCount val="4"/>
                <c:pt idx="0">
                  <c:v>0.28864745171965756</c:v>
                </c:pt>
                <c:pt idx="1">
                  <c:v>0.28370733551271732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37896719965218"/>
          <c:y val="0.11911555112327067"/>
          <c:w val="0.79262103280034779"/>
          <c:h val="0.69088267903387091"/>
        </c:manualLayout>
      </c:layout>
      <c:lineChart>
        <c:grouping val="standard"/>
        <c:varyColors val="0"/>
        <c:ser>
          <c:idx val="1"/>
          <c:order val="0"/>
          <c:tx>
            <c:v>TOTAL FACTURACION</c:v>
          </c:tx>
          <c:cat>
            <c:numRef>
              <c:f>'HISTORICO '!$A$4:$A$15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'HISTORICO '!$F$4:$F$15</c:f>
              <c:numCache>
                <c:formatCode>_("€"* #,##0.00_);_("€"* \(#,##0.00\);_("€"* "-"??_);_(@_)</c:formatCode>
                <c:ptCount val="12"/>
                <c:pt idx="0">
                  <c:v>187536.66999999998</c:v>
                </c:pt>
                <c:pt idx="1">
                  <c:v>27290.02</c:v>
                </c:pt>
                <c:pt idx="2">
                  <c:v>69235.34</c:v>
                </c:pt>
                <c:pt idx="3">
                  <c:v>29340.47</c:v>
                </c:pt>
                <c:pt idx="4">
                  <c:v>33632.949999999997</c:v>
                </c:pt>
                <c:pt idx="5">
                  <c:v>22595.14</c:v>
                </c:pt>
                <c:pt idx="6">
                  <c:v>38162.06</c:v>
                </c:pt>
                <c:pt idx="7">
                  <c:v>37818.89</c:v>
                </c:pt>
                <c:pt idx="8">
                  <c:v>40885.369999999995</c:v>
                </c:pt>
                <c:pt idx="9">
                  <c:v>75522.69</c:v>
                </c:pt>
                <c:pt idx="10">
                  <c:v>83661.13</c:v>
                </c:pt>
                <c:pt idx="11">
                  <c:v>89309.640000000014</c:v>
                </c:pt>
              </c:numCache>
            </c:numRef>
          </c:val>
          <c:smooth val="0"/>
        </c:ser>
        <c:ser>
          <c:idx val="0"/>
          <c:order val="1"/>
          <c:tx>
            <c:v>CPS</c:v>
          </c:tx>
          <c:cat>
            <c:numRef>
              <c:f>'HISTORICO '!$A$4:$A$15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'HISTORICO CPS'!$F$4:$F$15</c:f>
              <c:numCache>
                <c:formatCode>_("€"* #,##0.00_);_("€"* \(#,##0.00\);_("€"* "-"??_);_(@_)</c:formatCode>
                <c:ptCount val="12"/>
                <c:pt idx="0">
                  <c:v>187536.66999999998</c:v>
                </c:pt>
                <c:pt idx="1">
                  <c:v>27290.02</c:v>
                </c:pt>
                <c:pt idx="2">
                  <c:v>69235.34</c:v>
                </c:pt>
                <c:pt idx="3">
                  <c:v>29340.47</c:v>
                </c:pt>
                <c:pt idx="4">
                  <c:v>33632.949999999997</c:v>
                </c:pt>
                <c:pt idx="5">
                  <c:v>19595.14</c:v>
                </c:pt>
                <c:pt idx="6">
                  <c:v>25885.1</c:v>
                </c:pt>
                <c:pt idx="7">
                  <c:v>28758.89</c:v>
                </c:pt>
                <c:pt idx="8">
                  <c:v>24348.37</c:v>
                </c:pt>
                <c:pt idx="9">
                  <c:v>31314.21</c:v>
                </c:pt>
                <c:pt idx="10">
                  <c:v>16364.130000000001</c:v>
                </c:pt>
                <c:pt idx="11">
                  <c:v>38192.839999999997</c:v>
                </c:pt>
              </c:numCache>
            </c:numRef>
          </c:val>
          <c:smooth val="0"/>
        </c:ser>
        <c:ser>
          <c:idx val="2"/>
          <c:order val="2"/>
          <c:tx>
            <c:v>TRAZIA</c:v>
          </c:tx>
          <c:cat>
            <c:numRef>
              <c:f>'HISTORICO '!$A$4:$A$15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'HISTORICO TRAZIA'!$F$4:$F$15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3000</c:v>
                </c:pt>
                <c:pt idx="6">
                  <c:v>12276.959999999995</c:v>
                </c:pt>
                <c:pt idx="7">
                  <c:v>9060</c:v>
                </c:pt>
                <c:pt idx="8">
                  <c:v>16537</c:v>
                </c:pt>
                <c:pt idx="9">
                  <c:v>44208.479999999996</c:v>
                </c:pt>
                <c:pt idx="10">
                  <c:v>67297</c:v>
                </c:pt>
                <c:pt idx="11">
                  <c:v>51116.800000000003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08864"/>
        <c:axId val="48341568"/>
      </c:lineChart>
      <c:catAx>
        <c:axId val="1167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8341568"/>
        <c:crosses val="autoZero"/>
        <c:auto val="1"/>
        <c:lblAlgn val="ctr"/>
        <c:lblOffset val="100"/>
        <c:noMultiLvlLbl val="0"/>
      </c:catAx>
      <c:valAx>
        <c:axId val="48341568"/>
        <c:scaling>
          <c:orientation val="minMax"/>
        </c:scaling>
        <c:delete val="0"/>
        <c:axPos val="l"/>
        <c:majorGridlines/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crossAx val="116708864"/>
        <c:crosses val="autoZero"/>
        <c:crossBetween val="between"/>
        <c:dispUnits>
          <c:builtInUnit val="thousands"/>
          <c:dispUnitsLbl/>
        </c:dispUnits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4763</xdr:colOff>
      <xdr:row>15</xdr:row>
      <xdr:rowOff>76200</xdr:rowOff>
    </xdr:from>
    <xdr:to>
      <xdr:col>14</xdr:col>
      <xdr:colOff>352425</xdr:colOff>
      <xdr:row>25</xdr:row>
      <xdr:rowOff>19049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4763</xdr:colOff>
      <xdr:row>17</xdr:row>
      <xdr:rowOff>19050</xdr:rowOff>
    </xdr:from>
    <xdr:to>
      <xdr:col>14</xdr:col>
      <xdr:colOff>352425</xdr:colOff>
      <xdr:row>26</xdr:row>
      <xdr:rowOff>152399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4763</xdr:colOff>
      <xdr:row>17</xdr:row>
      <xdr:rowOff>152400</xdr:rowOff>
    </xdr:from>
    <xdr:to>
      <xdr:col>14</xdr:col>
      <xdr:colOff>352425</xdr:colOff>
      <xdr:row>27</xdr:row>
      <xdr:rowOff>95249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4763</xdr:colOff>
      <xdr:row>16</xdr:row>
      <xdr:rowOff>133350</xdr:rowOff>
    </xdr:from>
    <xdr:to>
      <xdr:col>14</xdr:col>
      <xdr:colOff>352425</xdr:colOff>
      <xdr:row>26</xdr:row>
      <xdr:rowOff>76199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4763</xdr:colOff>
      <xdr:row>16</xdr:row>
      <xdr:rowOff>133350</xdr:rowOff>
    </xdr:from>
    <xdr:to>
      <xdr:col>14</xdr:col>
      <xdr:colOff>352425</xdr:colOff>
      <xdr:row>26</xdr:row>
      <xdr:rowOff>76199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266700</xdr:colOff>
      <xdr:row>4</xdr:row>
      <xdr:rowOff>38101</xdr:rowOff>
    </xdr:from>
    <xdr:to>
      <xdr:col>21</xdr:col>
      <xdr:colOff>114300</xdr:colOff>
      <xdr:row>20</xdr:row>
      <xdr:rowOff>9525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Cloud/cps-arquitectura/104_TRAZIA%20Formacion%20y%20Gestion/1_CONTABILIDAD/LIBROS%20REGISTRO%202017_TRAZI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Cloud/cps-arquitectura/104_TRAZIA%20Formacion%20y%20Gestion/1_CONTABILIDAD/LIBROS%20REGISTRO%202014_TRAZI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Cloud/cps-arquitectura/20_CONTABILIDAD/LIBROS%20REGISTRO%202016_EXTENDED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Cloud/cps-arquitectura/104_TRAZIA%20Formacion%20y%20Gestion/1_CONTABILIDAD/LIBROS%20REGISTRO%202016_TRAZIA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OBJETIVOS_2015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.junio-octubre"/>
      <sheetName val="INGRESOS"/>
      <sheetName val="GASTOS"/>
      <sheetName val="CLIENTES"/>
      <sheetName val="PROVEEDORES"/>
      <sheetName val="CALCULOS"/>
      <sheetName val="MODELO 130"/>
      <sheetName val="MODELO 303"/>
      <sheetName val="MODELO 390"/>
      <sheetName val="IRPF ANUAL"/>
      <sheetName val="MODELO 347"/>
      <sheetName val="FACTURA"/>
      <sheetName val="FACTURA R.EQ"/>
      <sheetName val="Acerca de"/>
      <sheetName val="Bienes de Inversión"/>
      <sheetName val="TABLAS AMORTIZACIONES"/>
      <sheetName val="VEHÍCULO"/>
      <sheetName val="DATOS FISCALES"/>
      <sheetName val="Hoja1"/>
    </sheetNames>
    <sheetDataSet>
      <sheetData sheetId="0"/>
      <sheetData sheetId="1"/>
      <sheetData sheetId="2"/>
      <sheetData sheetId="3">
        <row r="2">
          <cell r="A2" t="str">
            <v>CDAD. PROP. C/ CURA FEMENÍA, 20</v>
          </cell>
        </row>
        <row r="3">
          <cell r="A3" t="str">
            <v>CDAD. PROP. C/ HISTORIADOR DIAGO, 2</v>
          </cell>
        </row>
        <row r="4">
          <cell r="A4" t="str">
            <v>CDAD. PROP. C/ MALLENT I MERI 113</v>
          </cell>
        </row>
        <row r="5">
          <cell r="A5" t="str">
            <v>CDAD. PROP. CADIZ 77</v>
          </cell>
        </row>
        <row r="6">
          <cell r="A6" t="str">
            <v>KONE ELEVADORES, S.A.</v>
          </cell>
        </row>
        <row r="7">
          <cell r="A7" t="str">
            <v>THE SEA WASP MKT S.L.</v>
          </cell>
        </row>
        <row r="8">
          <cell r="A8" t="str">
            <v>COLEGIO TERRITORIAL ARQUITECTOS VALENCIA</v>
          </cell>
        </row>
        <row r="201">
          <cell r="A201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"/>
      <sheetName val="CLIENTES"/>
      <sheetName val="PROVEEDORES"/>
      <sheetName val="CALCULOS"/>
      <sheetName val="MODELO 130"/>
      <sheetName val="MODELO 303"/>
      <sheetName val="MODELO 390"/>
      <sheetName val="IRPF ANUAL"/>
      <sheetName val="MODELO 347"/>
      <sheetName val="FACTURA"/>
      <sheetName val="FACTURA R.EQ"/>
      <sheetName val="Acerca de"/>
      <sheetName val="Bienes de Inversión"/>
      <sheetName val="TABLAS AMORTIZACIONES"/>
      <sheetName val="VEHÍCULO"/>
      <sheetName val="DATOS FISCALES"/>
      <sheetName val="Hoja1"/>
    </sheetNames>
    <sheetDataSet>
      <sheetData sheetId="0"/>
      <sheetData sheetId="1"/>
      <sheetData sheetId="2"/>
      <sheetData sheetId="3"/>
      <sheetData sheetId="4"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1750</v>
          </cell>
        </row>
        <row r="78">
          <cell r="B78">
            <v>0</v>
          </cell>
        </row>
        <row r="79">
          <cell r="B79">
            <v>2800</v>
          </cell>
        </row>
        <row r="80">
          <cell r="B80">
            <v>3130</v>
          </cell>
        </row>
        <row r="81">
          <cell r="B81">
            <v>5807</v>
          </cell>
        </row>
        <row r="82">
          <cell r="B82">
            <v>0</v>
          </cell>
        </row>
        <row r="83">
          <cell r="B83">
            <v>3050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INGRESOS"/>
      <sheetName val="GASTOS"/>
      <sheetName val="CLIENTES"/>
      <sheetName val="PROVEEDORES"/>
      <sheetName val="CALCULOS"/>
      <sheetName val="MODELO 130"/>
      <sheetName val="MODELO 303"/>
      <sheetName val="MODELO 390"/>
      <sheetName val="IRPF ANUAL"/>
      <sheetName val="MODELO 347"/>
      <sheetName val="FACTURA"/>
      <sheetName val="FACTURA R.EQ"/>
      <sheetName val="Acerca de"/>
      <sheetName val="Bienes de Inversión"/>
      <sheetName val="TABLAS AMORTIZACIONES"/>
      <sheetName val="VEHÍCULO"/>
      <sheetName val="DATOS FISCALES"/>
      <sheetName val="Hoja1"/>
    </sheetNames>
    <sheetDataSet>
      <sheetData sheetId="0"/>
      <sheetData sheetId="1">
        <row r="2">
          <cell r="E2" t="str">
            <v>CDAD. PROP. ALMACERA 4</v>
          </cell>
          <cell r="F2">
            <v>3305.79</v>
          </cell>
        </row>
        <row r="3">
          <cell r="E3" t="str">
            <v>TRAZIA FORMACION Y GESTION, S.L.</v>
          </cell>
        </row>
        <row r="4">
          <cell r="E4" t="str">
            <v>THE SEA WASP MKT S.L.</v>
          </cell>
        </row>
        <row r="5">
          <cell r="E5" t="str">
            <v>THE SEA WASP MKT S.L.</v>
          </cell>
        </row>
        <row r="6">
          <cell r="E6" t="str">
            <v>NURIA MORERA-FEDERICO GIL</v>
          </cell>
          <cell r="F6">
            <v>2200</v>
          </cell>
        </row>
        <row r="7">
          <cell r="E7" t="str">
            <v>COM.PROP.RAMON Y CAJAL, 32</v>
          </cell>
          <cell r="F7">
            <v>450</v>
          </cell>
        </row>
        <row r="8">
          <cell r="E8" t="str">
            <v>CDAD.PROP.SANTÍSIMO CR.GRAO, 8</v>
          </cell>
          <cell r="F8">
            <v>1715</v>
          </cell>
        </row>
        <row r="9">
          <cell r="E9" t="str">
            <v>THE SEA WASP MKT S.L.</v>
          </cell>
        </row>
        <row r="10">
          <cell r="E10" t="str">
            <v>CDAD. PROP. ALMACERA 4</v>
          </cell>
          <cell r="F10">
            <v>1000</v>
          </cell>
        </row>
        <row r="11">
          <cell r="E11" t="str">
            <v>C.P.SAN FCO. BORJA, 8</v>
          </cell>
          <cell r="F11">
            <v>900</v>
          </cell>
        </row>
        <row r="12">
          <cell r="E12" t="str">
            <v>C.P.CASTAN TOBEÑAS, 17</v>
          </cell>
          <cell r="F12">
            <v>828</v>
          </cell>
        </row>
        <row r="13">
          <cell r="E13" t="str">
            <v>C.P.NOU D'OCTUBRE, 16</v>
          </cell>
          <cell r="F13">
            <v>561.98</v>
          </cell>
        </row>
        <row r="14">
          <cell r="E14" t="str">
            <v>ANDRÉS CENTELLES GUAITA</v>
          </cell>
          <cell r="F14">
            <v>1583.36</v>
          </cell>
        </row>
        <row r="15">
          <cell r="E15" t="str">
            <v>NURIA MORERA-FEDERICO GIL</v>
          </cell>
          <cell r="F15">
            <v>120</v>
          </cell>
        </row>
        <row r="16">
          <cell r="E16" t="str">
            <v>CDAD. PROP. ALMACERA 4</v>
          </cell>
          <cell r="F16">
            <v>1000</v>
          </cell>
        </row>
        <row r="17">
          <cell r="E17" t="str">
            <v>TRAZIA FORMACION Y GESTION, S.L.</v>
          </cell>
        </row>
        <row r="21">
          <cell r="E21" t="str">
            <v>TRAZIA FORMACION Y GESTION, S.L.</v>
          </cell>
        </row>
        <row r="22">
          <cell r="E22"/>
          <cell r="F22"/>
        </row>
        <row r="23">
          <cell r="E23"/>
          <cell r="F23"/>
        </row>
        <row r="24">
          <cell r="E24"/>
          <cell r="F24"/>
        </row>
        <row r="25">
          <cell r="E25"/>
          <cell r="F25"/>
        </row>
        <row r="26">
          <cell r="E26"/>
          <cell r="F26"/>
        </row>
        <row r="27">
          <cell r="E27"/>
          <cell r="F27"/>
        </row>
        <row r="28">
          <cell r="E28"/>
          <cell r="F28"/>
        </row>
        <row r="29">
          <cell r="E29"/>
          <cell r="F29"/>
        </row>
        <row r="30">
          <cell r="E30"/>
          <cell r="F30"/>
        </row>
        <row r="31">
          <cell r="E31"/>
          <cell r="F31"/>
        </row>
        <row r="32">
          <cell r="E32"/>
          <cell r="F32"/>
        </row>
        <row r="33">
          <cell r="E33"/>
          <cell r="F33"/>
        </row>
        <row r="34">
          <cell r="E34"/>
          <cell r="F34"/>
        </row>
        <row r="35">
          <cell r="E35"/>
          <cell r="F35"/>
        </row>
        <row r="36">
          <cell r="E36"/>
          <cell r="F36"/>
        </row>
        <row r="37">
          <cell r="E37"/>
          <cell r="F37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.junio-octubre"/>
      <sheetName val="INGRESOS"/>
      <sheetName val="GASTOS"/>
      <sheetName val="CLIENTES"/>
      <sheetName val="PROVEEDORES"/>
      <sheetName val="CALCULOS"/>
      <sheetName val="MODELO 130"/>
      <sheetName val="MODELO 303"/>
      <sheetName val="MODELO 390"/>
      <sheetName val="IRPF ANUAL"/>
      <sheetName val="MODELO 347"/>
      <sheetName val="FACTURA"/>
      <sheetName val="FACTURA R.EQ"/>
      <sheetName val="Acerca de"/>
      <sheetName val="Bienes de Inversión"/>
      <sheetName val="TABLAS AMORTIZACIONES"/>
      <sheetName val="VEHÍCULO"/>
      <sheetName val="DATOS FISCALES"/>
      <sheetName val="Hoja1"/>
      <sheetName val="Hoja2"/>
    </sheetNames>
    <sheetDataSet>
      <sheetData sheetId="0"/>
      <sheetData sheetId="1">
        <row r="2">
          <cell r="E2" t="str">
            <v>KONE ELEVADORES, S.A.</v>
          </cell>
          <cell r="F2">
            <v>1950</v>
          </cell>
        </row>
        <row r="3">
          <cell r="E3" t="str">
            <v>KONE ELEVADORES, S.A.</v>
          </cell>
          <cell r="F3">
            <v>950</v>
          </cell>
        </row>
        <row r="4">
          <cell r="E4" t="str">
            <v>KONE ELEVADORES, S.A.</v>
          </cell>
          <cell r="F4">
            <v>1350</v>
          </cell>
        </row>
        <row r="5">
          <cell r="E5" t="str">
            <v>COLEGIO TERRITORIAL ARQUITECTOS VALENCIA</v>
          </cell>
          <cell r="F5">
            <v>2040</v>
          </cell>
        </row>
        <row r="6">
          <cell r="E6" t="str">
            <v>KONE ELEVADORES, S.A.</v>
          </cell>
          <cell r="F6">
            <v>1600</v>
          </cell>
        </row>
        <row r="7">
          <cell r="E7" t="str">
            <v>COLEGIO TERRITORIAL ARQUITECTOS VALENCIA</v>
          </cell>
          <cell r="F7">
            <v>1980</v>
          </cell>
        </row>
        <row r="8">
          <cell r="E8" t="str">
            <v>KONE ELEVADORES, S.A.</v>
          </cell>
          <cell r="F8">
            <v>1500</v>
          </cell>
        </row>
        <row r="9">
          <cell r="E9" t="str">
            <v>KONE ELEVADORES, S.A.</v>
          </cell>
          <cell r="F9">
            <v>1900</v>
          </cell>
        </row>
        <row r="10">
          <cell r="E10" t="str">
            <v>KONE ELEVADORES, S.A.</v>
          </cell>
          <cell r="F10">
            <v>2091</v>
          </cell>
        </row>
        <row r="11">
          <cell r="E11" t="str">
            <v>KONE ELEVADORES, S.A.</v>
          </cell>
          <cell r="F11">
            <v>2000</v>
          </cell>
        </row>
        <row r="12">
          <cell r="E12" t="str">
            <v>KONE ELEVADORES, S.A.</v>
          </cell>
          <cell r="F12">
            <v>1800</v>
          </cell>
        </row>
        <row r="13">
          <cell r="E13" t="str">
            <v>KONE ELEVADORES, S.A.</v>
          </cell>
          <cell r="F13">
            <v>1750</v>
          </cell>
        </row>
        <row r="14">
          <cell r="E14" t="str">
            <v>KONE ELEVADORES, S.A.</v>
          </cell>
          <cell r="F14">
            <v>1950</v>
          </cell>
        </row>
        <row r="15">
          <cell r="E15" t="str">
            <v>KONE ELEVADORES, S.A.</v>
          </cell>
          <cell r="F15">
            <v>2150</v>
          </cell>
        </row>
        <row r="16">
          <cell r="E16" t="str">
            <v>C.P.SAN ANDRÉS, 41</v>
          </cell>
          <cell r="F16">
            <v>1800</v>
          </cell>
        </row>
        <row r="17">
          <cell r="E17" t="str">
            <v>C.P.ALMÁCERA, 4-IEE</v>
          </cell>
          <cell r="F17">
            <v>1300</v>
          </cell>
        </row>
        <row r="18">
          <cell r="E18" t="str">
            <v>KONE ELEVADORES, S.A.</v>
          </cell>
          <cell r="F18">
            <v>600</v>
          </cell>
        </row>
        <row r="19">
          <cell r="E19" t="str">
            <v>KONE ELEVADORES, S.A.</v>
          </cell>
          <cell r="F19">
            <v>2050</v>
          </cell>
        </row>
        <row r="20">
          <cell r="E20" t="str">
            <v>KONE ELEVADORES, S.A.</v>
          </cell>
          <cell r="F20">
            <v>2150</v>
          </cell>
        </row>
        <row r="21">
          <cell r="E21" t="str">
            <v>KONE ELEVADORES, S.A.</v>
          </cell>
          <cell r="F21">
            <v>2200</v>
          </cell>
        </row>
        <row r="22">
          <cell r="E22" t="str">
            <v>KONE ELEVADORES, S.A.</v>
          </cell>
          <cell r="F22">
            <v>2600</v>
          </cell>
        </row>
        <row r="23">
          <cell r="E23" t="str">
            <v xml:space="preserve">C.E.I. PETER PAN </v>
          </cell>
          <cell r="F23">
            <v>300</v>
          </cell>
        </row>
        <row r="24">
          <cell r="E24" t="str">
            <v>KONE ELEVADORES, S.A.</v>
          </cell>
          <cell r="F24">
            <v>2250</v>
          </cell>
        </row>
        <row r="25">
          <cell r="E25" t="str">
            <v>KONE ELEVADORES, S.A.</v>
          </cell>
          <cell r="F25">
            <v>2150</v>
          </cell>
        </row>
        <row r="26">
          <cell r="E26" t="str">
            <v>KONE ELEVADORES, S.A.</v>
          </cell>
          <cell r="F26">
            <v>800</v>
          </cell>
        </row>
        <row r="27">
          <cell r="E27" t="str">
            <v>COLEGIO LA SALLE ALCOI</v>
          </cell>
          <cell r="F27">
            <v>2990</v>
          </cell>
        </row>
        <row r="28">
          <cell r="E28" t="str">
            <v>KONE ELEVADORES, S.A.</v>
          </cell>
          <cell r="F28">
            <v>2250</v>
          </cell>
        </row>
        <row r="29">
          <cell r="E29" t="str">
            <v>KONE ELEVADORES, S.A.</v>
          </cell>
          <cell r="F29">
            <v>1756</v>
          </cell>
        </row>
        <row r="30">
          <cell r="E30" t="str">
            <v>KONE ELEVADORES, S.A.</v>
          </cell>
          <cell r="F30">
            <v>2540</v>
          </cell>
        </row>
        <row r="31">
          <cell r="E31" t="str">
            <v>C.P. CASTÁN TOBEÑAS 17</v>
          </cell>
          <cell r="F31">
            <v>2700</v>
          </cell>
        </row>
        <row r="32">
          <cell r="E32" t="str">
            <v>MARVI ASCENSORES</v>
          </cell>
          <cell r="F32">
            <v>1700</v>
          </cell>
        </row>
        <row r="33">
          <cell r="E33" t="str">
            <v>KONE ELEVADORES, S.A.</v>
          </cell>
          <cell r="F33">
            <v>1550</v>
          </cell>
        </row>
        <row r="34">
          <cell r="E34" t="str">
            <v>CDAD. PROP. FCO. CUBELLS 27</v>
          </cell>
          <cell r="F34">
            <v>600</v>
          </cell>
        </row>
        <row r="35">
          <cell r="E35" t="str">
            <v>CDAD. PROP. ANDILLA 40</v>
          </cell>
          <cell r="F35">
            <v>800</v>
          </cell>
        </row>
        <row r="36">
          <cell r="E36" t="str">
            <v>KONE ELEVADORES, S.A.</v>
          </cell>
          <cell r="F36">
            <v>1350</v>
          </cell>
        </row>
        <row r="37">
          <cell r="E37" t="str">
            <v>KONE ELEVADORES, S.A.</v>
          </cell>
          <cell r="F37">
            <v>2550</v>
          </cell>
        </row>
        <row r="38">
          <cell r="E38" t="str">
            <v>KONE ELEVADORES, S.A.</v>
          </cell>
          <cell r="F38">
            <v>2000</v>
          </cell>
        </row>
        <row r="39">
          <cell r="E39" t="str">
            <v>KONE ELEVADORES, S.A.</v>
          </cell>
          <cell r="F39">
            <v>650</v>
          </cell>
        </row>
        <row r="40">
          <cell r="E40" t="str">
            <v>KONE ELEVADORES, S.A.</v>
          </cell>
          <cell r="F40">
            <v>650</v>
          </cell>
        </row>
        <row r="41">
          <cell r="E41"/>
          <cell r="F41"/>
        </row>
        <row r="42">
          <cell r="E42"/>
          <cell r="F42"/>
        </row>
        <row r="43">
          <cell r="E43"/>
          <cell r="F43"/>
        </row>
        <row r="44">
          <cell r="E44"/>
          <cell r="F44"/>
        </row>
        <row r="45">
          <cell r="E45"/>
          <cell r="F45"/>
        </row>
        <row r="46">
          <cell r="E46"/>
          <cell r="F46"/>
        </row>
        <row r="47">
          <cell r="E47"/>
          <cell r="F47"/>
        </row>
        <row r="48">
          <cell r="E48"/>
          <cell r="F48"/>
        </row>
        <row r="49">
          <cell r="E49"/>
          <cell r="F49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ESTADO 2015"/>
      <sheetName val="ESTADO 2016"/>
      <sheetName val="ESTADO 2017"/>
      <sheetName val="ESTADO 2018"/>
    </sheetNames>
    <sheetDataSet>
      <sheetData sheetId="0">
        <row r="6">
          <cell r="B6">
            <v>7725</v>
          </cell>
          <cell r="E6">
            <v>12525</v>
          </cell>
          <cell r="H6">
            <v>14193.48</v>
          </cell>
          <cell r="K6">
            <v>9765</v>
          </cell>
        </row>
        <row r="10">
          <cell r="B10">
            <v>6920</v>
          </cell>
          <cell r="E10">
            <v>10195</v>
          </cell>
          <cell r="H10">
            <v>3350</v>
          </cell>
          <cell r="K10">
            <v>10849.21</v>
          </cell>
        </row>
      </sheetData>
      <sheetData sheetId="1">
        <row r="6">
          <cell r="B6">
            <v>9870</v>
          </cell>
          <cell r="E6">
            <v>18841</v>
          </cell>
          <cell r="H6">
            <v>26736</v>
          </cell>
          <cell r="K6">
            <v>11850</v>
          </cell>
        </row>
        <row r="10">
          <cell r="B10">
            <v>3305.79</v>
          </cell>
          <cell r="E10">
            <v>6376.98</v>
          </cell>
          <cell r="H10">
            <v>3981.3599999999997</v>
          </cell>
          <cell r="K10">
            <v>2700</v>
          </cell>
        </row>
      </sheetData>
      <sheetData sheetId="2">
        <row r="6">
          <cell r="B6">
            <v>4400</v>
          </cell>
          <cell r="E6">
            <v>9268.7999999999993</v>
          </cell>
          <cell r="H6">
            <v>16719</v>
          </cell>
          <cell r="K6">
            <v>20729</v>
          </cell>
        </row>
        <row r="10">
          <cell r="B10">
            <v>7260</v>
          </cell>
          <cell r="E10">
            <v>12109.78</v>
          </cell>
          <cell r="H10">
            <v>7297.02</v>
          </cell>
          <cell r="K10">
            <v>11526.04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topLeftCell="E1" workbookViewId="0">
      <selection activeCell="E24" sqref="E24"/>
    </sheetView>
  </sheetViews>
  <sheetFormatPr baseColWidth="10" defaultRowHeight="15" x14ac:dyDescent="0.25"/>
  <cols>
    <col min="1" max="1" width="23.42578125" style="11" customWidth="1"/>
    <col min="2" max="3" width="11.42578125" style="11"/>
    <col min="4" max="4" width="3.5703125" style="11" customWidth="1"/>
    <col min="5" max="5" width="17.85546875" style="11" customWidth="1"/>
    <col min="6" max="6" width="11.42578125" style="11"/>
    <col min="7" max="7" width="2.85546875" style="11" customWidth="1"/>
    <col min="8" max="8" width="4.140625" style="11" customWidth="1"/>
    <col min="9" max="9" width="1.140625" style="11" customWidth="1"/>
    <col min="10" max="10" width="3.5703125" style="11" customWidth="1"/>
    <col min="15" max="15" width="2.7109375" customWidth="1"/>
    <col min="16" max="16" width="20.85546875" customWidth="1"/>
  </cols>
  <sheetData>
    <row r="1" spans="1:14" x14ac:dyDescent="0.25">
      <c r="J1"/>
    </row>
    <row r="2" spans="1:14" x14ac:dyDescent="0.25">
      <c r="J2"/>
    </row>
    <row r="3" spans="1:14" x14ac:dyDescent="0.25">
      <c r="J3"/>
    </row>
    <row r="4" spans="1:14" ht="33.75" x14ac:dyDescent="0.25">
      <c r="J4"/>
      <c r="K4" s="26" t="s">
        <v>5</v>
      </c>
      <c r="L4" s="25" t="s">
        <v>26</v>
      </c>
      <c r="M4" s="25" t="s">
        <v>27</v>
      </c>
      <c r="N4" s="25" t="s">
        <v>25</v>
      </c>
    </row>
    <row r="5" spans="1:14" x14ac:dyDescent="0.25">
      <c r="A5" s="14" t="s">
        <v>53</v>
      </c>
      <c r="B5" s="29">
        <v>840</v>
      </c>
      <c r="E5" s="34" t="s">
        <v>76</v>
      </c>
      <c r="F5" s="36">
        <v>1500</v>
      </c>
      <c r="G5" s="35"/>
      <c r="J5"/>
      <c r="K5" s="11" t="s">
        <v>10</v>
      </c>
      <c r="L5" s="12">
        <f>SUM(H5:H12)</f>
        <v>0</v>
      </c>
      <c r="M5" s="13">
        <f>L5/L14</f>
        <v>0</v>
      </c>
      <c r="N5" s="17">
        <f>M5*N14</f>
        <v>0</v>
      </c>
    </row>
    <row r="6" spans="1:14" x14ac:dyDescent="0.25">
      <c r="A6" s="14" t="s">
        <v>54</v>
      </c>
      <c r="B6" s="29">
        <v>700</v>
      </c>
      <c r="E6" s="34" t="s">
        <v>77</v>
      </c>
      <c r="F6" s="36">
        <v>265</v>
      </c>
      <c r="G6" s="35"/>
      <c r="J6"/>
      <c r="K6" s="11" t="s">
        <v>11</v>
      </c>
      <c r="L6" s="12">
        <f>SUM(F5:F11)</f>
        <v>9060</v>
      </c>
      <c r="M6" s="13">
        <f>L6/L14</f>
        <v>1</v>
      </c>
      <c r="N6" s="17">
        <f>M6*N14</f>
        <v>0.23956282164812348</v>
      </c>
    </row>
    <row r="7" spans="1:14" x14ac:dyDescent="0.25">
      <c r="A7" s="14" t="s">
        <v>55</v>
      </c>
      <c r="B7" s="29">
        <v>550</v>
      </c>
      <c r="E7" s="37" t="s">
        <v>78</v>
      </c>
      <c r="F7" s="36">
        <v>265</v>
      </c>
      <c r="G7" s="35"/>
      <c r="J7"/>
      <c r="K7" s="11"/>
      <c r="L7" s="11"/>
      <c r="M7" s="11"/>
      <c r="N7" s="11"/>
    </row>
    <row r="8" spans="1:14" x14ac:dyDescent="0.25">
      <c r="A8" s="14" t="s">
        <v>55</v>
      </c>
      <c r="B8" s="29">
        <v>250.8</v>
      </c>
      <c r="E8" s="37" t="s">
        <v>79</v>
      </c>
      <c r="F8" s="36">
        <v>265</v>
      </c>
      <c r="G8" s="35"/>
      <c r="J8"/>
      <c r="K8" s="26" t="s">
        <v>0</v>
      </c>
      <c r="L8" s="11"/>
      <c r="M8" s="11"/>
      <c r="N8" s="11"/>
    </row>
    <row r="9" spans="1:14" x14ac:dyDescent="0.25">
      <c r="A9" s="14" t="s">
        <v>56</v>
      </c>
      <c r="B9" s="29">
        <v>977</v>
      </c>
      <c r="E9" s="38" t="s">
        <v>80</v>
      </c>
      <c r="F9" s="36">
        <v>3400</v>
      </c>
      <c r="G9" s="35"/>
      <c r="J9"/>
      <c r="K9" s="11" t="s">
        <v>24</v>
      </c>
      <c r="L9" s="12">
        <v>0</v>
      </c>
      <c r="M9" s="13">
        <f>L9/L13</f>
        <v>0</v>
      </c>
      <c r="N9" s="17">
        <f>M9*N13</f>
        <v>0</v>
      </c>
    </row>
    <row r="10" spans="1:14" x14ac:dyDescent="0.25">
      <c r="A10" s="14" t="s">
        <v>57</v>
      </c>
      <c r="B10" s="29">
        <v>1950</v>
      </c>
      <c r="E10" s="38" t="s">
        <v>81</v>
      </c>
      <c r="F10" s="36">
        <v>265</v>
      </c>
      <c r="G10" s="35"/>
      <c r="J10"/>
      <c r="K10" s="11" t="s">
        <v>11</v>
      </c>
      <c r="L10" s="12">
        <f>SUM(B5:B36)</f>
        <v>28758.890000000003</v>
      </c>
      <c r="M10" s="13">
        <f>L10/L13</f>
        <v>1</v>
      </c>
      <c r="N10" s="17">
        <f>M10*N13</f>
        <v>0.76043717835187663</v>
      </c>
    </row>
    <row r="11" spans="1:14" x14ac:dyDescent="0.25">
      <c r="A11" s="14" t="s">
        <v>58</v>
      </c>
      <c r="B11" s="29">
        <v>2285</v>
      </c>
      <c r="E11" s="37" t="s">
        <v>80</v>
      </c>
      <c r="F11" s="36">
        <v>3100</v>
      </c>
      <c r="G11" s="35"/>
      <c r="J11"/>
      <c r="K11" s="11"/>
      <c r="L11" s="11"/>
      <c r="M11" s="11"/>
      <c r="N11" s="11"/>
    </row>
    <row r="12" spans="1:14" x14ac:dyDescent="0.25">
      <c r="A12" s="14" t="s">
        <v>59</v>
      </c>
      <c r="B12" s="29">
        <v>165.29</v>
      </c>
      <c r="J12"/>
      <c r="K12" s="26" t="s">
        <v>28</v>
      </c>
      <c r="L12" s="11"/>
      <c r="M12" s="11"/>
      <c r="N12" s="11"/>
    </row>
    <row r="13" spans="1:14" x14ac:dyDescent="0.25">
      <c r="A13" s="14" t="s">
        <v>60</v>
      </c>
      <c r="B13" s="29">
        <v>573.86</v>
      </c>
      <c r="J13"/>
      <c r="K13" s="11" t="s">
        <v>0</v>
      </c>
      <c r="L13" s="12">
        <f>SUM(L9:L10)</f>
        <v>28758.890000000003</v>
      </c>
      <c r="M13" s="13"/>
      <c r="N13" s="13">
        <f>L13/L15</f>
        <v>0.76043717835187663</v>
      </c>
    </row>
    <row r="14" spans="1:14" x14ac:dyDescent="0.25">
      <c r="A14" s="14" t="s">
        <v>61</v>
      </c>
      <c r="B14" s="29">
        <v>1080</v>
      </c>
      <c r="J14"/>
      <c r="K14" s="11" t="s">
        <v>5</v>
      </c>
      <c r="L14" s="12">
        <f>SUM(L5:L6)</f>
        <v>9060</v>
      </c>
      <c r="M14" s="13"/>
      <c r="N14" s="13">
        <f>L14/L15</f>
        <v>0.23956282164812348</v>
      </c>
    </row>
    <row r="15" spans="1:14" x14ac:dyDescent="0.25">
      <c r="A15" s="14" t="s">
        <v>62</v>
      </c>
      <c r="B15" s="29">
        <v>1835</v>
      </c>
      <c r="J15"/>
      <c r="K15" s="11" t="s">
        <v>29</v>
      </c>
      <c r="L15" s="12">
        <f>L14+L13</f>
        <v>37818.89</v>
      </c>
      <c r="M15" s="11"/>
      <c r="N15" s="17">
        <f>N14+N13</f>
        <v>1</v>
      </c>
    </row>
    <row r="16" spans="1:14" x14ac:dyDescent="0.25">
      <c r="A16" s="14" t="s">
        <v>63</v>
      </c>
      <c r="B16" s="29">
        <v>2035</v>
      </c>
      <c r="J16"/>
      <c r="K16" s="11"/>
      <c r="L16" s="11"/>
      <c r="M16" s="17"/>
      <c r="N16" s="17"/>
    </row>
    <row r="17" spans="1:14" x14ac:dyDescent="0.25">
      <c r="A17" s="14" t="s">
        <v>64</v>
      </c>
      <c r="B17" s="29">
        <v>1330</v>
      </c>
      <c r="J17"/>
      <c r="K17" s="11"/>
      <c r="L17" s="11"/>
      <c r="M17" s="11"/>
      <c r="N17" s="11"/>
    </row>
    <row r="18" spans="1:14" x14ac:dyDescent="0.25">
      <c r="A18" s="14" t="s">
        <v>65</v>
      </c>
      <c r="B18" s="29">
        <v>83</v>
      </c>
      <c r="J18"/>
      <c r="K18" s="11"/>
      <c r="L18" s="11"/>
      <c r="M18" s="11"/>
      <c r="N18" s="11"/>
    </row>
    <row r="19" spans="1:14" x14ac:dyDescent="0.25">
      <c r="A19" s="14" t="s">
        <v>66</v>
      </c>
      <c r="B19" s="29">
        <v>1040</v>
      </c>
      <c r="J19"/>
      <c r="K19" s="11"/>
      <c r="L19" s="11"/>
      <c r="M19" s="11"/>
      <c r="N19" s="11"/>
    </row>
    <row r="20" spans="1:14" x14ac:dyDescent="0.25">
      <c r="A20" s="14" t="s">
        <v>62</v>
      </c>
      <c r="B20" s="29">
        <v>404.9</v>
      </c>
      <c r="J20"/>
      <c r="K20" s="11"/>
      <c r="L20" s="11"/>
      <c r="M20" s="11"/>
      <c r="N20" s="11"/>
    </row>
    <row r="21" spans="1:14" x14ac:dyDescent="0.25">
      <c r="A21" s="14" t="s">
        <v>60</v>
      </c>
      <c r="B21" s="29">
        <v>390.49</v>
      </c>
      <c r="J21"/>
      <c r="K21" s="11"/>
      <c r="L21" s="11"/>
      <c r="M21" s="11"/>
      <c r="N21" s="11"/>
    </row>
    <row r="22" spans="1:14" x14ac:dyDescent="0.25">
      <c r="A22" s="14" t="s">
        <v>67</v>
      </c>
      <c r="B22" s="29">
        <v>659.7</v>
      </c>
      <c r="J22"/>
      <c r="K22" s="11"/>
      <c r="L22" s="11"/>
      <c r="M22" s="11"/>
      <c r="N22" s="11"/>
    </row>
    <row r="23" spans="1:14" x14ac:dyDescent="0.25">
      <c r="A23" s="14" t="s">
        <v>68</v>
      </c>
      <c r="B23" s="29">
        <v>596.15</v>
      </c>
      <c r="J23"/>
      <c r="K23" s="11"/>
      <c r="L23" s="11"/>
      <c r="M23" s="11"/>
      <c r="N23" s="11"/>
    </row>
    <row r="24" spans="1:14" x14ac:dyDescent="0.25">
      <c r="A24" s="14" t="s">
        <v>69</v>
      </c>
      <c r="B24" s="29">
        <v>540</v>
      </c>
      <c r="J24"/>
      <c r="K24" s="11"/>
      <c r="L24" s="11"/>
      <c r="M24" s="11"/>
      <c r="N24" s="11"/>
    </row>
    <row r="25" spans="1:14" x14ac:dyDescent="0.25">
      <c r="A25" s="14" t="s">
        <v>70</v>
      </c>
      <c r="B25" s="29">
        <v>232</v>
      </c>
      <c r="J25"/>
      <c r="K25" s="11"/>
      <c r="L25" s="11"/>
      <c r="M25" s="11"/>
      <c r="N25" s="11"/>
    </row>
    <row r="26" spans="1:14" x14ac:dyDescent="0.25">
      <c r="A26" s="14" t="s">
        <v>55</v>
      </c>
      <c r="B26" s="29">
        <v>668.24</v>
      </c>
      <c r="J26"/>
    </row>
    <row r="27" spans="1:14" x14ac:dyDescent="0.25">
      <c r="A27" s="14" t="s">
        <v>71</v>
      </c>
      <c r="B27" s="29">
        <v>75</v>
      </c>
    </row>
    <row r="28" spans="1:14" x14ac:dyDescent="0.25">
      <c r="A28" s="14" t="s">
        <v>72</v>
      </c>
      <c r="B28" s="29">
        <v>600</v>
      </c>
    </row>
    <row r="29" spans="1:14" x14ac:dyDescent="0.25">
      <c r="A29" s="14" t="s">
        <v>60</v>
      </c>
      <c r="B29" s="29">
        <v>926.46</v>
      </c>
    </row>
    <row r="30" spans="1:14" x14ac:dyDescent="0.25">
      <c r="A30" s="14" t="s">
        <v>61</v>
      </c>
      <c r="B30" s="29">
        <v>2785</v>
      </c>
    </row>
    <row r="31" spans="1:14" x14ac:dyDescent="0.25">
      <c r="A31" s="14" t="s">
        <v>45</v>
      </c>
      <c r="B31" s="29">
        <v>2430</v>
      </c>
    </row>
    <row r="32" spans="1:14" x14ac:dyDescent="0.25">
      <c r="A32" s="14" t="s">
        <v>73</v>
      </c>
      <c r="B32" s="29">
        <v>650</v>
      </c>
    </row>
    <row r="33" spans="1:2" x14ac:dyDescent="0.25">
      <c r="A33" s="14" t="s">
        <v>55</v>
      </c>
      <c r="B33" s="29">
        <v>492</v>
      </c>
    </row>
    <row r="34" spans="1:2" x14ac:dyDescent="0.25">
      <c r="A34" s="14" t="s">
        <v>39</v>
      </c>
      <c r="B34" s="29">
        <v>378</v>
      </c>
    </row>
    <row r="35" spans="1:2" x14ac:dyDescent="0.25">
      <c r="A35" s="14" t="s">
        <v>74</v>
      </c>
      <c r="B35" s="29">
        <v>486</v>
      </c>
    </row>
    <row r="36" spans="1:2" x14ac:dyDescent="0.25">
      <c r="A36" s="14" t="s">
        <v>75</v>
      </c>
      <c r="B36" s="29">
        <v>750</v>
      </c>
    </row>
  </sheetData>
  <dataValidations count="2">
    <dataValidation type="custom" errorStyle="warning" showInputMessage="1" showErrorMessage="1" error="No olvides introducir una fecha en la primera columna._x000a_Esta &quot;fecha de registro&quot; es la que se usa para determinar la asignación a los distintos trimestres." sqref="B5:B36">
      <formula1>NOT(ISBLANK(XFA5))</formula1>
    </dataValidation>
    <dataValidation type="list" errorStyle="information" sqref="A5:A36">
      <formula1>clientes</formula1>
    </dataValidation>
  </dataValidations>
  <pageMargins left="0.7" right="0.7" top="0.75" bottom="0.75" header="0.3" footer="0.3"/>
  <pageSetup paperSize="9" orientation="portrait" horizontalDpi="0" verticalDpi="0" r:id="rId1"/>
  <drawing r:id="rId2"/>
  <legacy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sqref>P13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33"/>
  <sheetViews>
    <sheetView topLeftCell="F1" workbookViewId="0">
      <selection activeCell="M17" sqref="M17"/>
    </sheetView>
  </sheetViews>
  <sheetFormatPr baseColWidth="10" defaultRowHeight="15" x14ac:dyDescent="0.25"/>
  <cols>
    <col min="1" max="1" width="22.140625" style="11" customWidth="1"/>
    <col min="2" max="2" width="11.42578125" style="11"/>
    <col min="7" max="8" width="11.42578125" style="11"/>
    <col min="9" max="9" width="5" customWidth="1"/>
    <col min="10" max="10" width="3.42578125" customWidth="1"/>
    <col min="15" max="15" width="2.42578125" customWidth="1"/>
    <col min="16" max="16" width="21.28515625" customWidth="1"/>
  </cols>
  <sheetData>
    <row r="2" spans="1:14" x14ac:dyDescent="0.25">
      <c r="B2" s="12">
        <f>SUM(B4:B33)</f>
        <v>24348.37</v>
      </c>
      <c r="H2" s="12">
        <f>SUM(H4:H12)</f>
        <v>16537</v>
      </c>
    </row>
    <row r="4" spans="1:14" ht="33.75" x14ac:dyDescent="0.25">
      <c r="A4" s="14" t="s">
        <v>31</v>
      </c>
      <c r="B4" s="29">
        <v>885</v>
      </c>
      <c r="G4" s="27" t="s">
        <v>30</v>
      </c>
      <c r="H4" s="28">
        <v>1750</v>
      </c>
      <c r="K4" s="26" t="s">
        <v>5</v>
      </c>
      <c r="L4" s="25" t="s">
        <v>26</v>
      </c>
      <c r="M4" s="25" t="s">
        <v>27</v>
      </c>
      <c r="N4" s="25" t="s">
        <v>25</v>
      </c>
    </row>
    <row r="5" spans="1:14" x14ac:dyDescent="0.25">
      <c r="A5" s="14" t="s">
        <v>32</v>
      </c>
      <c r="B5" s="29">
        <v>576</v>
      </c>
      <c r="G5" s="27" t="s">
        <v>6</v>
      </c>
      <c r="H5" s="28">
        <v>1650</v>
      </c>
      <c r="K5" s="11" t="s">
        <v>10</v>
      </c>
      <c r="L5" s="12">
        <f>SUM(H5:H12)</f>
        <v>14787</v>
      </c>
      <c r="M5" s="13">
        <f>L5/H2</f>
        <v>0.89417669468464656</v>
      </c>
      <c r="N5" s="17">
        <f>M5*N14</f>
        <v>0.36166971217332755</v>
      </c>
    </row>
    <row r="6" spans="1:14" x14ac:dyDescent="0.25">
      <c r="A6" s="14" t="s">
        <v>33</v>
      </c>
      <c r="B6" s="29">
        <v>1495</v>
      </c>
      <c r="G6" s="27" t="s">
        <v>6</v>
      </c>
      <c r="H6" s="28">
        <v>1150</v>
      </c>
      <c r="K6" s="11" t="s">
        <v>11</v>
      </c>
      <c r="L6" s="12">
        <f>SUM(H4)</f>
        <v>1750</v>
      </c>
      <c r="M6" s="13">
        <f>L6/H2</f>
        <v>0.10582330531535344</v>
      </c>
      <c r="N6" s="17">
        <f>M6*N14</f>
        <v>4.2802596625638949E-2</v>
      </c>
    </row>
    <row r="7" spans="1:14" x14ac:dyDescent="0.25">
      <c r="A7" s="14" t="s">
        <v>34</v>
      </c>
      <c r="B7" s="29">
        <v>322.19</v>
      </c>
      <c r="G7" s="27" t="s">
        <v>6</v>
      </c>
      <c r="H7" s="28">
        <v>3130</v>
      </c>
      <c r="K7" s="11"/>
      <c r="L7" s="11"/>
      <c r="M7" s="11"/>
      <c r="N7" s="11"/>
    </row>
    <row r="8" spans="1:14" x14ac:dyDescent="0.25">
      <c r="A8" s="14" t="s">
        <v>31</v>
      </c>
      <c r="B8" s="29">
        <v>430</v>
      </c>
      <c r="G8" s="27" t="s">
        <v>6</v>
      </c>
      <c r="H8" s="28">
        <v>2840</v>
      </c>
      <c r="K8" s="26" t="s">
        <v>0</v>
      </c>
      <c r="L8" s="11"/>
      <c r="M8" s="11"/>
      <c r="N8" s="11"/>
    </row>
    <row r="9" spans="1:14" x14ac:dyDescent="0.25">
      <c r="A9" s="14" t="s">
        <v>35</v>
      </c>
      <c r="B9" s="29">
        <v>3045</v>
      </c>
      <c r="G9" s="27" t="s">
        <v>6</v>
      </c>
      <c r="H9" s="28">
        <v>1580</v>
      </c>
      <c r="K9" s="11" t="s">
        <v>24</v>
      </c>
      <c r="L9" s="12">
        <f>B33+B29+B27+B25</f>
        <v>2975</v>
      </c>
      <c r="M9" s="13">
        <f>L9/B2</f>
        <v>0.12218477047950232</v>
      </c>
      <c r="N9" s="17">
        <f>M9*N13</f>
        <v>7.2764414263586222E-2</v>
      </c>
    </row>
    <row r="10" spans="1:14" x14ac:dyDescent="0.25">
      <c r="A10" s="14" t="s">
        <v>36</v>
      </c>
      <c r="B10" s="29">
        <v>450</v>
      </c>
      <c r="G10" s="27" t="s">
        <v>6</v>
      </c>
      <c r="H10" s="28">
        <v>1387</v>
      </c>
      <c r="K10" s="11" t="s">
        <v>11</v>
      </c>
      <c r="L10" s="12">
        <f>B2-L9</f>
        <v>21373.37</v>
      </c>
      <c r="M10" s="13">
        <f>L10/B2</f>
        <v>0.87781522952049762</v>
      </c>
      <c r="N10" s="17">
        <f>M10*N13</f>
        <v>0.52276327693744729</v>
      </c>
    </row>
    <row r="11" spans="1:14" x14ac:dyDescent="0.25">
      <c r="A11" s="14" t="s">
        <v>37</v>
      </c>
      <c r="B11" s="29">
        <v>400</v>
      </c>
      <c r="G11" s="27" t="s">
        <v>6</v>
      </c>
      <c r="H11" s="28">
        <v>1650</v>
      </c>
      <c r="K11" s="11"/>
      <c r="L11" s="11"/>
      <c r="M11" s="11"/>
      <c r="N11" s="11"/>
    </row>
    <row r="12" spans="1:14" x14ac:dyDescent="0.25">
      <c r="A12" s="14" t="s">
        <v>38</v>
      </c>
      <c r="B12" s="29">
        <v>400</v>
      </c>
      <c r="G12" s="27" t="s">
        <v>6</v>
      </c>
      <c r="H12" s="28">
        <v>1400</v>
      </c>
      <c r="K12" s="26" t="s">
        <v>28</v>
      </c>
      <c r="L12" s="11"/>
      <c r="M12" s="11"/>
      <c r="N12" s="11"/>
    </row>
    <row r="13" spans="1:14" x14ac:dyDescent="0.25">
      <c r="A13" s="14" t="s">
        <v>39</v>
      </c>
      <c r="B13" s="29">
        <v>457.38</v>
      </c>
      <c r="K13" s="11" t="s">
        <v>0</v>
      </c>
      <c r="L13" s="12">
        <f>B2</f>
        <v>24348.37</v>
      </c>
      <c r="M13" s="13"/>
      <c r="N13" s="13">
        <f>L13/L15</f>
        <v>0.59552769120103355</v>
      </c>
    </row>
    <row r="14" spans="1:14" x14ac:dyDescent="0.25">
      <c r="A14" s="14" t="s">
        <v>40</v>
      </c>
      <c r="B14" s="29">
        <v>486</v>
      </c>
      <c r="K14" s="11" t="s">
        <v>5</v>
      </c>
      <c r="L14" s="12">
        <f>H2</f>
        <v>16537</v>
      </c>
      <c r="M14" s="13"/>
      <c r="N14" s="13">
        <f>L14/L15</f>
        <v>0.40447230879896651</v>
      </c>
    </row>
    <row r="15" spans="1:14" x14ac:dyDescent="0.25">
      <c r="A15" s="14" t="s">
        <v>41</v>
      </c>
      <c r="B15" s="29">
        <v>350</v>
      </c>
      <c r="K15" s="11" t="s">
        <v>29</v>
      </c>
      <c r="L15" s="12">
        <f>L14+L13</f>
        <v>40885.369999999995</v>
      </c>
      <c r="M15" s="11"/>
      <c r="N15" s="17">
        <f>N14+N13</f>
        <v>1</v>
      </c>
    </row>
    <row r="16" spans="1:14" x14ac:dyDescent="0.25">
      <c r="A16" s="14" t="s">
        <v>42</v>
      </c>
      <c r="B16" s="29">
        <v>850</v>
      </c>
      <c r="K16" s="11"/>
      <c r="L16" s="11"/>
      <c r="M16" s="17"/>
      <c r="N16" s="17"/>
    </row>
    <row r="17" spans="1:14" x14ac:dyDescent="0.25">
      <c r="A17" s="14" t="s">
        <v>43</v>
      </c>
      <c r="B17" s="29">
        <v>80</v>
      </c>
      <c r="K17" s="11"/>
      <c r="L17" s="11" t="s">
        <v>82</v>
      </c>
      <c r="M17" s="33">
        <f>L15/'2013'!L15-1</f>
        <v>8.1083289329750174E-2</v>
      </c>
      <c r="N17" s="11"/>
    </row>
    <row r="18" spans="1:14" x14ac:dyDescent="0.25">
      <c r="A18" s="14" t="s">
        <v>43</v>
      </c>
      <c r="B18" s="29">
        <v>80</v>
      </c>
      <c r="K18" s="11"/>
      <c r="L18" s="11"/>
      <c r="M18" s="11"/>
      <c r="N18" s="11"/>
    </row>
    <row r="19" spans="1:14" x14ac:dyDescent="0.25">
      <c r="A19" s="14" t="s">
        <v>44</v>
      </c>
      <c r="B19" s="29">
        <v>1125</v>
      </c>
      <c r="K19" s="11"/>
      <c r="L19" s="11"/>
      <c r="M19" s="11"/>
      <c r="N19" s="11"/>
    </row>
    <row r="20" spans="1:14" x14ac:dyDescent="0.25">
      <c r="A20" s="14" t="s">
        <v>45</v>
      </c>
      <c r="B20" s="29">
        <v>2085</v>
      </c>
      <c r="K20" s="11"/>
      <c r="L20" s="11"/>
      <c r="M20" s="11"/>
      <c r="N20" s="11"/>
    </row>
    <row r="21" spans="1:14" x14ac:dyDescent="0.25">
      <c r="A21" s="14" t="s">
        <v>46</v>
      </c>
      <c r="B21" s="29">
        <v>874.8</v>
      </c>
      <c r="K21" s="11"/>
      <c r="L21" s="11"/>
      <c r="M21" s="11"/>
      <c r="N21" s="11"/>
    </row>
    <row r="22" spans="1:14" x14ac:dyDescent="0.25">
      <c r="A22" s="14" t="s">
        <v>47</v>
      </c>
      <c r="B22" s="29">
        <v>1480</v>
      </c>
      <c r="K22" s="11"/>
      <c r="L22" s="11"/>
      <c r="M22" s="11"/>
      <c r="N22" s="11"/>
    </row>
    <row r="23" spans="1:14" x14ac:dyDescent="0.25">
      <c r="A23" s="14" t="s">
        <v>45</v>
      </c>
      <c r="B23" s="29">
        <v>2085</v>
      </c>
      <c r="K23" s="11"/>
      <c r="L23" s="11"/>
      <c r="M23" s="11"/>
      <c r="N23" s="11"/>
    </row>
    <row r="24" spans="1:14" x14ac:dyDescent="0.25">
      <c r="A24" s="14" t="s">
        <v>38</v>
      </c>
      <c r="B24" s="29">
        <v>400</v>
      </c>
      <c r="K24" s="11"/>
      <c r="L24" s="11"/>
      <c r="M24" s="11"/>
      <c r="N24" s="11"/>
    </row>
    <row r="25" spans="1:14" x14ac:dyDescent="0.25">
      <c r="A25" s="14" t="s">
        <v>17</v>
      </c>
      <c r="B25" s="29">
        <v>425</v>
      </c>
      <c r="K25" s="11"/>
      <c r="L25" s="11"/>
      <c r="M25" s="11"/>
      <c r="N25" s="11"/>
    </row>
    <row r="26" spans="1:14" x14ac:dyDescent="0.25">
      <c r="A26" s="14" t="s">
        <v>48</v>
      </c>
      <c r="B26" s="29">
        <v>970</v>
      </c>
    </row>
    <row r="27" spans="1:14" x14ac:dyDescent="0.25">
      <c r="A27" s="14" t="s">
        <v>17</v>
      </c>
      <c r="B27" s="29">
        <v>850</v>
      </c>
    </row>
    <row r="28" spans="1:14" x14ac:dyDescent="0.25">
      <c r="A28" s="14" t="s">
        <v>49</v>
      </c>
      <c r="B28" s="29">
        <v>95</v>
      </c>
    </row>
    <row r="29" spans="1:14" x14ac:dyDescent="0.25">
      <c r="A29" s="14" t="s">
        <v>17</v>
      </c>
      <c r="B29" s="29">
        <v>850</v>
      </c>
    </row>
    <row r="30" spans="1:14" x14ac:dyDescent="0.25">
      <c r="A30" s="14" t="s">
        <v>50</v>
      </c>
      <c r="B30" s="29">
        <v>150</v>
      </c>
    </row>
    <row r="31" spans="1:14" x14ac:dyDescent="0.25">
      <c r="A31" s="14" t="s">
        <v>51</v>
      </c>
      <c r="B31" s="29">
        <v>972</v>
      </c>
    </row>
    <row r="32" spans="1:14" x14ac:dyDescent="0.25">
      <c r="A32" s="14" t="s">
        <v>52</v>
      </c>
      <c r="B32" s="29">
        <v>830</v>
      </c>
    </row>
    <row r="33" spans="1:2" x14ac:dyDescent="0.25">
      <c r="A33" s="14" t="s">
        <v>17</v>
      </c>
      <c r="B33" s="29">
        <v>850</v>
      </c>
    </row>
  </sheetData>
  <dataValidations disablePrompts="1" count="2">
    <dataValidation type="custom" errorStyle="warning" showInputMessage="1" showErrorMessage="1" error="No olvides introducir una fecha en la primera columna._x000a_Esta &quot;fecha de registro&quot; es la que se usa para determinar la asignación a los distintos trimestres." sqref="H4:H12 B4:B33">
      <formula1>NOT(ISBLANK(XFA4))</formula1>
    </dataValidation>
    <dataValidation type="list" errorStyle="information" sqref="G4:G12 A4:A33">
      <formula1>clientes</formula1>
    </dataValidation>
  </dataValidations>
  <pageMargins left="0.7" right="0.7" top="0.75" bottom="0.75" header="0.3" footer="0.3"/>
  <pageSetup paperSize="9" orientation="landscape" horizontalDpi="0" verticalDpi="0" r:id="rId1"/>
  <drawing r:id="rId2"/>
  <legacy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sqref>P13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[2]CALCULOS!$B$72:$B$83</xm:f>
              <xm:sqref>P14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44"/>
  <sheetViews>
    <sheetView workbookViewId="0">
      <selection activeCell="L15" sqref="L15"/>
    </sheetView>
  </sheetViews>
  <sheetFormatPr baseColWidth="10" defaultRowHeight="15" x14ac:dyDescent="0.25"/>
  <cols>
    <col min="1" max="1" width="16.85546875" style="11" customWidth="1"/>
    <col min="3" max="3" width="3.7109375" style="18" customWidth="1"/>
    <col min="4" max="4" width="12" style="11" customWidth="1"/>
    <col min="5" max="5" width="3.42578125" customWidth="1"/>
    <col min="6" max="6" width="32.5703125" style="11" bestFit="1" customWidth="1"/>
    <col min="8" max="8" width="5.28515625" style="18" customWidth="1"/>
    <col min="9" max="9" width="9.28515625" style="11" customWidth="1"/>
    <col min="10" max="10" width="1.85546875" customWidth="1"/>
    <col min="11" max="11" width="7.140625" style="11" customWidth="1"/>
    <col min="12" max="12" width="10.140625" style="11" customWidth="1"/>
    <col min="13" max="13" width="6.85546875" style="11" bestFit="1" customWidth="1"/>
    <col min="14" max="14" width="11.42578125" style="11"/>
    <col min="15" max="15" width="2.85546875" customWidth="1"/>
    <col min="16" max="16" width="17.85546875" customWidth="1"/>
  </cols>
  <sheetData>
    <row r="2" spans="1:14" x14ac:dyDescent="0.25">
      <c r="D2" s="24">
        <f>SUM(B3:G3)</f>
        <v>75522.69</v>
      </c>
      <c r="E2" s="7"/>
    </row>
    <row r="3" spans="1:14" x14ac:dyDescent="0.25">
      <c r="B3" s="6">
        <f>SUM(B5:B41)</f>
        <v>31314.21</v>
      </c>
      <c r="G3" s="6">
        <f>SUM(G5:G30)</f>
        <v>44208.479999999996</v>
      </c>
    </row>
    <row r="4" spans="1:14" ht="33.75" x14ac:dyDescent="0.25">
      <c r="K4" s="26" t="s">
        <v>5</v>
      </c>
      <c r="L4" s="25" t="s">
        <v>26</v>
      </c>
      <c r="M4" s="25" t="s">
        <v>27</v>
      </c>
      <c r="N4" s="25" t="s">
        <v>25</v>
      </c>
    </row>
    <row r="5" spans="1:14" x14ac:dyDescent="0.25">
      <c r="A5" s="14" t="s">
        <v>12</v>
      </c>
      <c r="B5" s="29">
        <v>440</v>
      </c>
      <c r="C5" s="22" t="s">
        <v>0</v>
      </c>
      <c r="D5" s="2" t="s">
        <v>1</v>
      </c>
      <c r="E5" s="2"/>
      <c r="F5" s="14" t="s">
        <v>6</v>
      </c>
      <c r="G5" s="29">
        <v>2350</v>
      </c>
      <c r="H5" s="19"/>
      <c r="I5" s="9"/>
      <c r="K5" s="11" t="s">
        <v>10</v>
      </c>
      <c r="L5" s="12">
        <f>G3-G7-G8-G12-G25-G23</f>
        <v>37833.479999999996</v>
      </c>
      <c r="M5" s="13">
        <f>L5/G3</f>
        <v>0.85579689688494154</v>
      </c>
      <c r="N5" s="17">
        <f>M5*N14</f>
        <v>0.50095514341451552</v>
      </c>
    </row>
    <row r="6" spans="1:14" x14ac:dyDescent="0.25">
      <c r="A6" s="14" t="s">
        <v>13</v>
      </c>
      <c r="B6" s="29">
        <v>865</v>
      </c>
      <c r="C6" s="22" t="s">
        <v>0</v>
      </c>
      <c r="D6" s="2" t="s">
        <v>1</v>
      </c>
      <c r="E6" s="2"/>
      <c r="F6" s="14" t="s">
        <v>6</v>
      </c>
      <c r="G6" s="29">
        <v>2950</v>
      </c>
      <c r="H6" s="19"/>
      <c r="I6" s="9"/>
      <c r="K6" s="11" t="s">
        <v>11</v>
      </c>
      <c r="L6" s="12">
        <f>G3-L5</f>
        <v>6375</v>
      </c>
      <c r="M6" s="13">
        <f>L6/G3</f>
        <v>0.14420310311505849</v>
      </c>
      <c r="N6" s="17">
        <f>M6*N14</f>
        <v>8.4411717855918542E-2</v>
      </c>
    </row>
    <row r="7" spans="1:14" x14ac:dyDescent="0.25">
      <c r="A7" s="14" t="s">
        <v>14</v>
      </c>
      <c r="B7" s="29">
        <v>925</v>
      </c>
      <c r="C7" s="22" t="s">
        <v>0</v>
      </c>
      <c r="D7" s="2" t="s">
        <v>1</v>
      </c>
      <c r="E7" s="2"/>
      <c r="F7" s="14" t="s">
        <v>7</v>
      </c>
      <c r="G7" s="29">
        <v>1250</v>
      </c>
      <c r="H7" s="19"/>
      <c r="I7" s="9"/>
    </row>
    <row r="8" spans="1:14" x14ac:dyDescent="0.25">
      <c r="A8" s="14" t="s">
        <v>15</v>
      </c>
      <c r="B8" s="29">
        <v>350</v>
      </c>
      <c r="C8" s="22" t="s">
        <v>0</v>
      </c>
      <c r="D8" s="2" t="s">
        <v>1</v>
      </c>
      <c r="E8" s="2"/>
      <c r="F8" s="14" t="s">
        <v>8</v>
      </c>
      <c r="G8" s="29">
        <v>1175</v>
      </c>
      <c r="H8" s="19"/>
      <c r="I8" s="9"/>
      <c r="K8" s="26" t="s">
        <v>0</v>
      </c>
    </row>
    <row r="9" spans="1:14" x14ac:dyDescent="0.25">
      <c r="A9" s="14" t="s">
        <v>16</v>
      </c>
      <c r="B9" s="29">
        <v>865</v>
      </c>
      <c r="C9" s="22" t="s">
        <v>0</v>
      </c>
      <c r="D9" s="2" t="s">
        <v>1</v>
      </c>
      <c r="E9" s="2"/>
      <c r="F9" s="14" t="s">
        <v>6</v>
      </c>
      <c r="G9" s="29">
        <v>1350</v>
      </c>
      <c r="H9" s="19"/>
      <c r="I9" s="9"/>
      <c r="K9" s="11" t="s">
        <v>24</v>
      </c>
      <c r="L9" s="12">
        <f>850*12</f>
        <v>10200</v>
      </c>
      <c r="M9" s="13">
        <f>L9/B3</f>
        <v>0.32573071458612562</v>
      </c>
      <c r="N9" s="17">
        <f>M9*N13</f>
        <v>0.13505874856946964</v>
      </c>
    </row>
    <row r="10" spans="1:14" x14ac:dyDescent="0.25">
      <c r="A10" s="14" t="s">
        <v>17</v>
      </c>
      <c r="B10" s="29">
        <v>850</v>
      </c>
      <c r="C10" s="22" t="s">
        <v>0</v>
      </c>
      <c r="D10" s="2" t="s">
        <v>1</v>
      </c>
      <c r="E10" s="2"/>
      <c r="F10" s="14" t="s">
        <v>6</v>
      </c>
      <c r="G10" s="29">
        <v>1650</v>
      </c>
      <c r="H10" s="19"/>
      <c r="I10" s="9"/>
      <c r="K10" s="11" t="s">
        <v>11</v>
      </c>
      <c r="L10" s="12">
        <f>B3-L9</f>
        <v>21114.21</v>
      </c>
      <c r="M10" s="13">
        <f>L10/B3</f>
        <v>0.67426928541387443</v>
      </c>
      <c r="N10" s="17">
        <f>M10*N13</f>
        <v>0.27957439016009622</v>
      </c>
    </row>
    <row r="11" spans="1:14" x14ac:dyDescent="0.25">
      <c r="A11" s="14" t="s">
        <v>14</v>
      </c>
      <c r="B11" s="29">
        <v>925</v>
      </c>
      <c r="C11" s="22" t="s">
        <v>0</v>
      </c>
      <c r="D11" s="2" t="s">
        <v>1</v>
      </c>
      <c r="E11" s="2"/>
      <c r="F11" s="14" t="s">
        <v>6</v>
      </c>
      <c r="G11" s="29">
        <v>820</v>
      </c>
      <c r="H11" s="19"/>
      <c r="I11" s="9"/>
    </row>
    <row r="12" spans="1:14" x14ac:dyDescent="0.25">
      <c r="A12" s="14" t="s">
        <v>17</v>
      </c>
      <c r="B12" s="29">
        <v>850</v>
      </c>
      <c r="C12" s="22" t="s">
        <v>0</v>
      </c>
      <c r="D12" s="2" t="s">
        <v>2</v>
      </c>
      <c r="E12" s="2"/>
      <c r="F12" s="14" t="s">
        <v>9</v>
      </c>
      <c r="G12" s="29">
        <v>1185</v>
      </c>
      <c r="H12" s="19"/>
      <c r="I12" s="9"/>
      <c r="K12" s="26" t="s">
        <v>28</v>
      </c>
    </row>
    <row r="13" spans="1:14" x14ac:dyDescent="0.25">
      <c r="A13" s="14" t="s">
        <v>17</v>
      </c>
      <c r="B13" s="29">
        <v>850</v>
      </c>
      <c r="C13" s="22" t="s">
        <v>0</v>
      </c>
      <c r="D13" s="2" t="s">
        <v>1</v>
      </c>
      <c r="E13" s="2"/>
      <c r="F13" s="14" t="s">
        <v>6</v>
      </c>
      <c r="G13" s="29">
        <v>3320</v>
      </c>
      <c r="H13" s="19"/>
      <c r="I13" s="9"/>
      <c r="K13" s="11" t="s">
        <v>0</v>
      </c>
      <c r="L13" s="97">
        <f>B3</f>
        <v>31314.21</v>
      </c>
      <c r="M13" s="13"/>
      <c r="N13" s="13">
        <f>L13/D2</f>
        <v>0.41463313872956586</v>
      </c>
    </row>
    <row r="14" spans="1:14" x14ac:dyDescent="0.25">
      <c r="A14" s="14" t="s">
        <v>18</v>
      </c>
      <c r="B14" s="29">
        <v>216</v>
      </c>
      <c r="C14" s="22" t="s">
        <v>0</v>
      </c>
      <c r="D14" s="2" t="s">
        <v>1</v>
      </c>
      <c r="E14" s="2"/>
      <c r="F14" s="14" t="s">
        <v>6</v>
      </c>
      <c r="G14" s="29">
        <v>1950</v>
      </c>
      <c r="H14" s="19"/>
      <c r="I14" s="50"/>
      <c r="K14" s="11" t="s">
        <v>5</v>
      </c>
      <c r="L14" s="97">
        <f>G3</f>
        <v>44208.479999999996</v>
      </c>
      <c r="M14" s="13"/>
      <c r="N14" s="13">
        <f>L14/D2</f>
        <v>0.58536686127043402</v>
      </c>
    </row>
    <row r="15" spans="1:14" x14ac:dyDescent="0.25">
      <c r="A15" s="14" t="s">
        <v>133</v>
      </c>
      <c r="B15" s="29">
        <v>950</v>
      </c>
      <c r="C15" s="22" t="s">
        <v>0</v>
      </c>
      <c r="D15" s="2" t="s">
        <v>1</v>
      </c>
      <c r="E15" s="2"/>
      <c r="F15" s="14" t="s">
        <v>6</v>
      </c>
      <c r="G15" s="29">
        <v>2250</v>
      </c>
      <c r="H15" s="19"/>
      <c r="I15" s="50"/>
      <c r="K15" s="11" t="s">
        <v>29</v>
      </c>
      <c r="L15" s="97">
        <f>L14+L13</f>
        <v>75522.69</v>
      </c>
      <c r="N15" s="17">
        <f>N14+N13</f>
        <v>0.99999999999999989</v>
      </c>
    </row>
    <row r="16" spans="1:14" x14ac:dyDescent="0.25">
      <c r="A16" s="15" t="s">
        <v>19</v>
      </c>
      <c r="B16" s="29">
        <v>1863</v>
      </c>
      <c r="C16" s="23" t="s">
        <v>0</v>
      </c>
      <c r="D16" s="3" t="s">
        <v>1</v>
      </c>
      <c r="E16" s="3"/>
      <c r="F16" s="15" t="s">
        <v>6</v>
      </c>
      <c r="G16" s="29">
        <v>2650</v>
      </c>
      <c r="H16" s="20"/>
      <c r="I16" s="51"/>
      <c r="M16" s="17"/>
      <c r="N16" s="17"/>
    </row>
    <row r="17" spans="1:13" x14ac:dyDescent="0.25">
      <c r="A17" s="15" t="s">
        <v>134</v>
      </c>
      <c r="B17" s="29">
        <v>200</v>
      </c>
      <c r="C17" s="23" t="s">
        <v>0</v>
      </c>
      <c r="D17" s="3" t="s">
        <v>1</v>
      </c>
      <c r="E17" s="3"/>
      <c r="F17" s="15" t="s">
        <v>6</v>
      </c>
      <c r="G17" s="29">
        <v>2650</v>
      </c>
      <c r="H17" s="20"/>
      <c r="I17" s="10"/>
      <c r="L17" s="11" t="s">
        <v>82</v>
      </c>
      <c r="M17" s="33">
        <f>L15/'2014'!L15-1</f>
        <v>0.84718127780181551</v>
      </c>
    </row>
    <row r="18" spans="1:13" x14ac:dyDescent="0.25">
      <c r="A18" s="15" t="s">
        <v>17</v>
      </c>
      <c r="B18" s="29">
        <v>850</v>
      </c>
      <c r="C18" s="23" t="s">
        <v>0</v>
      </c>
      <c r="D18" s="3" t="s">
        <v>1</v>
      </c>
      <c r="E18" s="3"/>
      <c r="F18" s="15" t="s">
        <v>6</v>
      </c>
      <c r="G18" s="29">
        <v>3000</v>
      </c>
      <c r="H18" s="20"/>
      <c r="I18" s="10"/>
    </row>
    <row r="19" spans="1:13" x14ac:dyDescent="0.25">
      <c r="A19" s="15" t="s">
        <v>20</v>
      </c>
      <c r="B19" s="29">
        <v>345</v>
      </c>
      <c r="C19" s="23" t="s">
        <v>0</v>
      </c>
      <c r="D19" s="3" t="s">
        <v>1</v>
      </c>
      <c r="E19" s="3"/>
      <c r="F19" s="15" t="s">
        <v>6</v>
      </c>
      <c r="G19" s="29">
        <v>2243.48</v>
      </c>
      <c r="H19" s="20"/>
      <c r="I19" s="10"/>
    </row>
    <row r="20" spans="1:13" x14ac:dyDescent="0.25">
      <c r="A20" s="15" t="s">
        <v>21</v>
      </c>
      <c r="B20" s="29">
        <v>828</v>
      </c>
      <c r="C20" s="23" t="s">
        <v>0</v>
      </c>
      <c r="D20" s="3" t="s">
        <v>1</v>
      </c>
      <c r="E20" s="3"/>
      <c r="F20" s="15" t="s">
        <v>6</v>
      </c>
      <c r="G20" s="29">
        <v>1500</v>
      </c>
      <c r="H20" s="20"/>
      <c r="I20" s="10"/>
    </row>
    <row r="21" spans="1:13" x14ac:dyDescent="0.25">
      <c r="A21" s="15" t="s">
        <v>135</v>
      </c>
      <c r="B21" s="29">
        <v>1932</v>
      </c>
      <c r="C21" s="23" t="s">
        <v>0</v>
      </c>
      <c r="D21" s="3" t="s">
        <v>1</v>
      </c>
      <c r="E21" s="3"/>
      <c r="F21" s="15" t="s">
        <v>6</v>
      </c>
      <c r="G21" s="29">
        <v>2150</v>
      </c>
      <c r="H21" s="20"/>
      <c r="I21" s="10"/>
    </row>
    <row r="22" spans="1:13" x14ac:dyDescent="0.25">
      <c r="A22" s="15" t="s">
        <v>136</v>
      </c>
      <c r="B22" s="29">
        <v>345</v>
      </c>
      <c r="C22" s="23" t="s">
        <v>0</v>
      </c>
      <c r="D22" s="3" t="s">
        <v>1</v>
      </c>
      <c r="E22" s="3"/>
      <c r="F22" s="15" t="s">
        <v>6</v>
      </c>
      <c r="G22" s="29">
        <v>3000</v>
      </c>
      <c r="H22" s="21"/>
      <c r="I22" s="10"/>
    </row>
    <row r="23" spans="1:13" x14ac:dyDescent="0.25">
      <c r="A23" s="15" t="s">
        <v>137</v>
      </c>
      <c r="B23" s="29">
        <v>966</v>
      </c>
      <c r="C23" s="23" t="s">
        <v>0</v>
      </c>
      <c r="D23" s="3" t="s">
        <v>1</v>
      </c>
      <c r="E23" s="11"/>
      <c r="F23" s="15" t="s">
        <v>93</v>
      </c>
      <c r="G23" s="29">
        <v>965</v>
      </c>
      <c r="H23" s="20"/>
      <c r="I23" s="10"/>
    </row>
    <row r="24" spans="1:13" x14ac:dyDescent="0.25">
      <c r="A24" s="15" t="s">
        <v>17</v>
      </c>
      <c r="B24" s="29">
        <v>850</v>
      </c>
      <c r="C24" s="23" t="s">
        <v>0</v>
      </c>
      <c r="D24" s="3" t="s">
        <v>1</v>
      </c>
      <c r="E24" s="11"/>
      <c r="F24" s="15" t="s">
        <v>6</v>
      </c>
      <c r="G24" s="29">
        <v>2150</v>
      </c>
      <c r="H24" s="20"/>
      <c r="I24" s="10"/>
    </row>
    <row r="25" spans="1:13" x14ac:dyDescent="0.25">
      <c r="A25" s="15" t="s">
        <v>17</v>
      </c>
      <c r="B25" s="29">
        <v>850</v>
      </c>
      <c r="C25" s="23" t="s">
        <v>0</v>
      </c>
      <c r="D25" s="3" t="s">
        <v>3</v>
      </c>
      <c r="E25" s="11"/>
      <c r="F25" s="15" t="s">
        <v>7</v>
      </c>
      <c r="G25" s="29">
        <v>1800</v>
      </c>
      <c r="H25" s="20"/>
      <c r="I25" s="10"/>
    </row>
    <row r="26" spans="1:13" x14ac:dyDescent="0.25">
      <c r="A26" s="15" t="s">
        <v>17</v>
      </c>
      <c r="B26" s="29">
        <v>850</v>
      </c>
      <c r="C26" s="23" t="s">
        <v>0</v>
      </c>
      <c r="D26" s="3" t="s">
        <v>1</v>
      </c>
      <c r="E26" s="11"/>
      <c r="F26" s="15" t="s">
        <v>6</v>
      </c>
      <c r="G26" s="29">
        <v>1850</v>
      </c>
      <c r="H26" s="20"/>
      <c r="I26" s="10"/>
    </row>
    <row r="27" spans="1:13" x14ac:dyDescent="0.25">
      <c r="A27" s="15" t="s">
        <v>17</v>
      </c>
      <c r="B27" s="29">
        <v>850</v>
      </c>
      <c r="C27" s="23" t="s">
        <v>0</v>
      </c>
      <c r="D27" s="3" t="s">
        <v>1</v>
      </c>
      <c r="E27" s="11"/>
      <c r="G27" s="49"/>
    </row>
    <row r="28" spans="1:13" x14ac:dyDescent="0.25">
      <c r="A28" s="15" t="s">
        <v>17</v>
      </c>
      <c r="B28" s="29">
        <v>850</v>
      </c>
      <c r="C28" s="23" t="s">
        <v>0</v>
      </c>
      <c r="D28" s="3" t="s">
        <v>1</v>
      </c>
      <c r="E28" s="11"/>
      <c r="G28" s="49"/>
    </row>
    <row r="29" spans="1:13" x14ac:dyDescent="0.25">
      <c r="A29" s="15" t="s">
        <v>138</v>
      </c>
      <c r="B29" s="29">
        <v>800</v>
      </c>
      <c r="C29" s="23" t="s">
        <v>0</v>
      </c>
      <c r="D29" s="3" t="s">
        <v>3</v>
      </c>
      <c r="E29" s="11"/>
      <c r="G29" s="11"/>
    </row>
    <row r="30" spans="1:13" x14ac:dyDescent="0.25">
      <c r="A30" s="15" t="s">
        <v>22</v>
      </c>
      <c r="B30" s="29">
        <v>850</v>
      </c>
      <c r="C30" s="23" t="s">
        <v>0</v>
      </c>
      <c r="D30" s="3" t="s">
        <v>1</v>
      </c>
      <c r="E30" s="11"/>
      <c r="G30" s="11"/>
    </row>
    <row r="31" spans="1:13" x14ac:dyDescent="0.25">
      <c r="A31" s="15" t="s">
        <v>139</v>
      </c>
      <c r="B31" s="29">
        <v>900</v>
      </c>
      <c r="C31" s="23" t="s">
        <v>0</v>
      </c>
      <c r="D31" s="3" t="s">
        <v>3</v>
      </c>
      <c r="E31" s="11"/>
      <c r="G31" s="11"/>
    </row>
    <row r="32" spans="1:13" x14ac:dyDescent="0.25">
      <c r="A32" s="15" t="s">
        <v>140</v>
      </c>
      <c r="B32" s="29">
        <v>755</v>
      </c>
      <c r="C32" s="23" t="s">
        <v>0</v>
      </c>
      <c r="D32" s="3" t="s">
        <v>1</v>
      </c>
      <c r="E32" s="11"/>
    </row>
    <row r="33" spans="1:7" x14ac:dyDescent="0.25">
      <c r="A33" s="15" t="s">
        <v>141</v>
      </c>
      <c r="B33" s="29">
        <v>925</v>
      </c>
      <c r="C33" s="23" t="s">
        <v>0</v>
      </c>
      <c r="D33" s="3" t="s">
        <v>1</v>
      </c>
      <c r="E33" s="11"/>
      <c r="G33" s="5">
        <f>AVERAGE(G5:G6,G9,G10,G11,G13,G14,G15,G16,G17,G18,G19,G20,G21,G22,G23,G24,G26)</f>
        <v>2155.471111111111</v>
      </c>
    </row>
    <row r="34" spans="1:7" x14ac:dyDescent="0.25">
      <c r="A34" s="93" t="s">
        <v>23</v>
      </c>
      <c r="B34" s="94">
        <v>1580</v>
      </c>
      <c r="C34" s="23" t="s">
        <v>0</v>
      </c>
      <c r="D34" s="3" t="s">
        <v>3</v>
      </c>
      <c r="E34" s="11"/>
    </row>
    <row r="35" spans="1:7" x14ac:dyDescent="0.25">
      <c r="A35" s="15" t="s">
        <v>17</v>
      </c>
      <c r="B35" s="29">
        <v>850</v>
      </c>
      <c r="C35" s="23" t="s">
        <v>0</v>
      </c>
      <c r="D35" s="3" t="s">
        <v>3</v>
      </c>
      <c r="E35" s="11"/>
    </row>
    <row r="36" spans="1:7" x14ac:dyDescent="0.25">
      <c r="A36" s="15" t="s">
        <v>142</v>
      </c>
      <c r="B36" s="29">
        <v>1000</v>
      </c>
      <c r="C36" s="23" t="s">
        <v>0</v>
      </c>
      <c r="D36" s="3" t="s">
        <v>1</v>
      </c>
      <c r="E36" s="3"/>
    </row>
    <row r="37" spans="1:7" x14ac:dyDescent="0.25">
      <c r="A37" s="15" t="s">
        <v>17</v>
      </c>
      <c r="B37" s="29">
        <v>850</v>
      </c>
      <c r="C37" s="23"/>
      <c r="D37" s="3"/>
      <c r="E37" s="3"/>
    </row>
    <row r="38" spans="1:7" x14ac:dyDescent="0.25">
      <c r="A38" s="95" t="s">
        <v>142</v>
      </c>
      <c r="B38" s="96"/>
      <c r="C38" s="23" t="s">
        <v>0</v>
      </c>
      <c r="D38" s="3" t="s">
        <v>4</v>
      </c>
      <c r="E38" s="3"/>
    </row>
    <row r="39" spans="1:7" x14ac:dyDescent="0.25">
      <c r="A39" s="15" t="s">
        <v>143</v>
      </c>
      <c r="B39" s="29">
        <v>1745</v>
      </c>
      <c r="C39" s="23" t="s">
        <v>0</v>
      </c>
      <c r="D39" s="3" t="s">
        <v>4</v>
      </c>
      <c r="E39" s="3"/>
    </row>
    <row r="40" spans="1:7" x14ac:dyDescent="0.25">
      <c r="A40" s="15" t="s">
        <v>143</v>
      </c>
      <c r="B40" s="29">
        <v>1394.21</v>
      </c>
      <c r="C40" s="23" t="s">
        <v>0</v>
      </c>
      <c r="D40" s="3" t="s">
        <v>4</v>
      </c>
    </row>
    <row r="41" spans="1:7" x14ac:dyDescent="0.25">
      <c r="B41" s="4"/>
      <c r="C41" s="18" t="s">
        <v>0</v>
      </c>
      <c r="D41" s="11" t="s">
        <v>94</v>
      </c>
    </row>
    <row r="44" spans="1:7" x14ac:dyDescent="0.25">
      <c r="B44" s="11">
        <f>COUNT(B5:B41)</f>
        <v>35</v>
      </c>
    </row>
  </sheetData>
  <sheetProtection sheet="1" objects="1" scenarios="1"/>
  <dataValidations count="3">
    <dataValidation type="list" errorStyle="information" sqref="F5:F26 A5:A40">
      <formula1>clientes</formula1>
    </dataValidation>
    <dataValidation type="list" allowBlank="1" showInputMessage="1" showErrorMessage="1" sqref="D5:D35 E5:E22">
      <formula1>#REF!</formula1>
    </dataValidation>
    <dataValidation type="custom" errorStyle="warning" showInputMessage="1" showErrorMessage="1" error="No olvides introducir una fecha en la primera columna._x000a_Esta &quot;fecha de registro&quot; es la que se usa para determinar la asignación a los distintos trimestres." sqref="G5:G26 B5:B40">
      <formula1>NOT(ISBLANK(XFA5))</formula1>
    </dataValidation>
  </dataValidations>
  <pageMargins left="0.7" right="0.7" top="0.75" bottom="0.75" header="0.3" footer="0.3"/>
  <pageSetup paperSize="9" fitToWidth="0" orientation="landscape" horizontalDpi="0" verticalDpi="0" r:id="rId1"/>
  <drawing r:id="rId2"/>
  <legacy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sqref>P13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sqref>P14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2"/>
  <sheetViews>
    <sheetView workbookViewId="0">
      <selection activeCell="L13" sqref="L13:L15"/>
    </sheetView>
  </sheetViews>
  <sheetFormatPr baseColWidth="10" defaultRowHeight="15" x14ac:dyDescent="0.25"/>
  <cols>
    <col min="1" max="1" width="16.85546875" style="11" customWidth="1"/>
    <col min="3" max="3" width="3.7109375" style="18" customWidth="1"/>
    <col min="4" max="4" width="5.85546875" style="11" customWidth="1"/>
    <col min="5" max="5" width="3.42578125" customWidth="1"/>
    <col min="6" max="6" width="11.85546875" style="53" customWidth="1"/>
    <col min="7" max="7" width="7.5703125" style="53" customWidth="1"/>
    <col min="8" max="8" width="5.28515625" style="18" customWidth="1"/>
    <col min="9" max="9" width="2.5703125" style="11" customWidth="1"/>
    <col min="10" max="10" width="1.85546875" customWidth="1"/>
    <col min="11" max="11" width="7.140625" style="11" customWidth="1"/>
    <col min="12" max="12" width="10.85546875" style="11" customWidth="1"/>
    <col min="13" max="13" width="6.140625" style="11" customWidth="1"/>
    <col min="14" max="14" width="11.42578125" style="11"/>
    <col min="15" max="15" width="10.28515625" style="11" customWidth="1"/>
    <col min="16" max="16" width="12" style="11" bestFit="1" customWidth="1"/>
  </cols>
  <sheetData>
    <row r="1" spans="1:17" x14ac:dyDescent="0.25">
      <c r="A1" s="11">
        <v>2016</v>
      </c>
    </row>
    <row r="2" spans="1:17" x14ac:dyDescent="0.25">
      <c r="D2" s="24"/>
      <c r="E2" s="7"/>
    </row>
    <row r="3" spans="1:17" x14ac:dyDescent="0.25">
      <c r="B3" s="6"/>
      <c r="G3" s="54"/>
    </row>
    <row r="4" spans="1:17" ht="33.75" x14ac:dyDescent="0.25">
      <c r="K4" s="26" t="s">
        <v>5</v>
      </c>
      <c r="L4" s="25" t="s">
        <v>95</v>
      </c>
      <c r="M4" s="25" t="s">
        <v>27</v>
      </c>
      <c r="N4" s="25" t="s">
        <v>25</v>
      </c>
      <c r="O4" s="25" t="s">
        <v>98</v>
      </c>
      <c r="P4" s="25" t="s">
        <v>97</v>
      </c>
      <c r="Q4" s="25" t="s">
        <v>96</v>
      </c>
    </row>
    <row r="5" spans="1:17" x14ac:dyDescent="0.25">
      <c r="A5" s="14" t="str">
        <f>[3]INGRESOS!E2</f>
        <v>CDAD. PROP. ALMACERA 4</v>
      </c>
      <c r="B5" s="1">
        <f>[3]INGRESOS!F2</f>
        <v>3305.79</v>
      </c>
      <c r="C5" s="22" t="s">
        <v>0</v>
      </c>
      <c r="D5" s="2"/>
      <c r="E5" s="2"/>
      <c r="F5" s="8" t="str">
        <f>[4]INGRESOS!E2</f>
        <v>KONE ELEVADORES, S.A.</v>
      </c>
      <c r="G5" s="52">
        <f>[4]INGRESOS!F2</f>
        <v>1950</v>
      </c>
      <c r="H5" s="19" t="s">
        <v>5</v>
      </c>
      <c r="I5" s="9"/>
      <c r="K5" s="11" t="s">
        <v>10</v>
      </c>
      <c r="L5" s="12">
        <f>SUMPRODUCT((F5:F52="KONE ELEVADORES, S.A.")*(G5:G52))+SUMPRODUCT((F5:F52="MARVI ASCENSORES")*(G5:G52))</f>
        <v>52787</v>
      </c>
      <c r="M5" s="13">
        <f>L5/L14</f>
        <v>0.76506224908329346</v>
      </c>
      <c r="N5" s="17">
        <f>M5*N14</f>
        <v>0.61839621851303983</v>
      </c>
      <c r="O5" s="32">
        <v>0.15</v>
      </c>
      <c r="P5" s="30">
        <f>'2015'!L5*(1+'2016'!O5)</f>
        <v>43508.501999999993</v>
      </c>
      <c r="Q5" s="55">
        <f>L5/P5</f>
        <v>1.2132571238605274</v>
      </c>
    </row>
    <row r="6" spans="1:17" x14ac:dyDescent="0.25">
      <c r="A6" s="14" t="str">
        <f>[3]INGRESOS!E3</f>
        <v>TRAZIA FORMACION Y GESTION, S.L.</v>
      </c>
      <c r="B6" s="1">
        <v>0</v>
      </c>
      <c r="C6" s="22" t="s">
        <v>0</v>
      </c>
      <c r="D6" s="2"/>
      <c r="E6" s="2"/>
      <c r="F6" s="8" t="str">
        <f>[4]INGRESOS!E3</f>
        <v>KONE ELEVADORES, S.A.</v>
      </c>
      <c r="G6" s="52">
        <f>[4]INGRESOS!F3</f>
        <v>950</v>
      </c>
      <c r="H6" s="19" t="s">
        <v>5</v>
      </c>
      <c r="I6" s="9"/>
      <c r="K6" s="11" t="s">
        <v>11</v>
      </c>
      <c r="L6" s="12">
        <f>SUMPRODUCT((F5:F52&lt;&gt;"KONE ELEVADORES, S.A.")*(G5:G52))</f>
        <v>16210</v>
      </c>
      <c r="M6" s="13">
        <f>L6/L14</f>
        <v>0.23493775091670652</v>
      </c>
      <c r="N6" s="17">
        <f>M6*N14</f>
        <v>0.18989907935848552</v>
      </c>
      <c r="O6" s="32">
        <v>0</v>
      </c>
      <c r="P6" s="30">
        <f>'2015'!L6*(1+'2016'!O6)</f>
        <v>6375</v>
      </c>
      <c r="Q6" s="55">
        <f>L6/P6</f>
        <v>2.5427450980392159</v>
      </c>
    </row>
    <row r="7" spans="1:17" x14ac:dyDescent="0.25">
      <c r="A7" s="14" t="str">
        <f>[3]INGRESOS!E4</f>
        <v>THE SEA WASP MKT S.L.</v>
      </c>
      <c r="B7" s="1">
        <f>[3]INGRESOS!F4</f>
        <v>0</v>
      </c>
      <c r="C7" s="22" t="s">
        <v>0</v>
      </c>
      <c r="D7" s="2"/>
      <c r="E7" s="2"/>
      <c r="F7" s="8" t="str">
        <f>[4]INGRESOS!E4</f>
        <v>KONE ELEVADORES, S.A.</v>
      </c>
      <c r="G7" s="52">
        <f>[4]INGRESOS!F4</f>
        <v>1350</v>
      </c>
      <c r="H7" s="19" t="s">
        <v>5</v>
      </c>
      <c r="I7" s="9"/>
      <c r="O7" s="13"/>
      <c r="Q7" s="55"/>
    </row>
    <row r="8" spans="1:17" x14ac:dyDescent="0.25">
      <c r="A8" s="14" t="str">
        <f>[3]INGRESOS!E5</f>
        <v>THE SEA WASP MKT S.L.</v>
      </c>
      <c r="B8" s="1">
        <f>[3]INGRESOS!F5</f>
        <v>0</v>
      </c>
      <c r="C8" s="22" t="s">
        <v>0</v>
      </c>
      <c r="D8" s="2"/>
      <c r="E8" s="2"/>
      <c r="F8" s="8" t="str">
        <f>[4]INGRESOS!E5</f>
        <v>COLEGIO TERRITORIAL ARQUITECTOS VALENCIA</v>
      </c>
      <c r="G8" s="52">
        <f>[4]INGRESOS!F5</f>
        <v>2040</v>
      </c>
      <c r="H8" s="19" t="s">
        <v>5</v>
      </c>
      <c r="I8" s="9"/>
      <c r="K8" s="26" t="s">
        <v>0</v>
      </c>
      <c r="O8" s="13"/>
      <c r="Q8" s="55"/>
    </row>
    <row r="9" spans="1:17" x14ac:dyDescent="0.25">
      <c r="A9" s="14" t="str">
        <f>[3]INGRESOS!E6</f>
        <v>NURIA MORERA-FEDERICO GIL</v>
      </c>
      <c r="B9" s="1">
        <f>[3]INGRESOS!F6</f>
        <v>2200</v>
      </c>
      <c r="C9" s="22" t="s">
        <v>0</v>
      </c>
      <c r="D9" s="2"/>
      <c r="E9" s="2"/>
      <c r="F9" s="8" t="str">
        <f>[4]INGRESOS!E6</f>
        <v>KONE ELEVADORES, S.A.</v>
      </c>
      <c r="G9" s="52">
        <f>[4]INGRESOS!F6</f>
        <v>1600</v>
      </c>
      <c r="H9" s="19" t="s">
        <v>5</v>
      </c>
      <c r="I9" s="9"/>
      <c r="K9" s="11" t="s">
        <v>24</v>
      </c>
      <c r="L9" s="12">
        <f>SUMPRODUCT((A5:A28="THE SEA WASP MKT S.L.")*(B5:B28))</f>
        <v>2700</v>
      </c>
      <c r="M9" s="13">
        <f>L9/L13</f>
        <v>0.16499502265015004</v>
      </c>
      <c r="N9" s="17">
        <f>M9*N13</f>
        <v>3.1630321669827939E-2</v>
      </c>
      <c r="O9" s="32">
        <v>0</v>
      </c>
      <c r="P9" s="30">
        <f>'2015'!L9*(1+'2016'!O9)</f>
        <v>10200</v>
      </c>
      <c r="Q9" s="55">
        <f>L9/P9</f>
        <v>0.26470588235294118</v>
      </c>
    </row>
    <row r="10" spans="1:17" x14ac:dyDescent="0.25">
      <c r="A10" s="14" t="str">
        <f>[3]INGRESOS!E7</f>
        <v>COM.PROP.RAMON Y CAJAL, 32</v>
      </c>
      <c r="B10" s="1">
        <f>[3]INGRESOS!F7</f>
        <v>450</v>
      </c>
      <c r="C10" s="22" t="s">
        <v>0</v>
      </c>
      <c r="D10" s="2"/>
      <c r="E10" s="2"/>
      <c r="F10" s="8" t="str">
        <f>[4]INGRESOS!E7</f>
        <v>COLEGIO TERRITORIAL ARQUITECTOS VALENCIA</v>
      </c>
      <c r="G10" s="52">
        <f>[4]INGRESOS!F7</f>
        <v>1980</v>
      </c>
      <c r="H10" s="19" t="s">
        <v>5</v>
      </c>
      <c r="I10" s="9"/>
      <c r="K10" s="11" t="s">
        <v>11</v>
      </c>
      <c r="L10" s="12">
        <f>SUMPRODUCT((A5:A28&lt;&gt;"THE SEA WASP MKT S.L.")*(B5:B28))</f>
        <v>13664.130000000001</v>
      </c>
      <c r="M10" s="13">
        <f>L10/L13</f>
        <v>0.83500497734984991</v>
      </c>
      <c r="N10" s="17">
        <f>M10*N13</f>
        <v>0.16007438045864666</v>
      </c>
      <c r="O10" s="32">
        <v>0</v>
      </c>
      <c r="P10" s="30">
        <f>'2015'!L10*(1+'2016'!O10)</f>
        <v>21114.21</v>
      </c>
      <c r="Q10" s="55">
        <f>L10/P10</f>
        <v>0.64715326787031113</v>
      </c>
    </row>
    <row r="11" spans="1:17" x14ac:dyDescent="0.25">
      <c r="A11" s="14" t="str">
        <f>[3]INGRESOS!E8</f>
        <v>CDAD.PROP.SANTÍSIMO CR.GRAO, 8</v>
      </c>
      <c r="B11" s="1">
        <f>[3]INGRESOS!F8</f>
        <v>1715</v>
      </c>
      <c r="C11" s="22" t="s">
        <v>0</v>
      </c>
      <c r="D11" s="2"/>
      <c r="E11" s="2"/>
      <c r="F11" s="8" t="str">
        <f>[4]INGRESOS!E8</f>
        <v>KONE ELEVADORES, S.A.</v>
      </c>
      <c r="G11" s="52">
        <f>[4]INGRESOS!F8</f>
        <v>1500</v>
      </c>
      <c r="H11" s="19" t="s">
        <v>5</v>
      </c>
      <c r="I11" s="9"/>
      <c r="O11" s="13"/>
      <c r="Q11" s="55"/>
    </row>
    <row r="12" spans="1:17" x14ac:dyDescent="0.25">
      <c r="A12" s="14" t="str">
        <f>[3]INGRESOS!E9</f>
        <v>THE SEA WASP MKT S.L.</v>
      </c>
      <c r="B12" s="1">
        <f>[3]INGRESOS!F9</f>
        <v>0</v>
      </c>
      <c r="C12" s="22" t="s">
        <v>0</v>
      </c>
      <c r="D12" s="2"/>
      <c r="E12" s="2"/>
      <c r="F12" s="8" t="str">
        <f>[4]INGRESOS!E9</f>
        <v>KONE ELEVADORES, S.A.</v>
      </c>
      <c r="G12" s="52">
        <f>[4]INGRESOS!F9</f>
        <v>1900</v>
      </c>
      <c r="H12" s="19" t="s">
        <v>5</v>
      </c>
      <c r="I12" s="9"/>
      <c r="K12" s="26" t="s">
        <v>28</v>
      </c>
      <c r="O12" s="13"/>
      <c r="Q12" s="55"/>
    </row>
    <row r="13" spans="1:17" x14ac:dyDescent="0.25">
      <c r="A13" s="14" t="str">
        <f>[3]INGRESOS!E10</f>
        <v>CDAD. PROP. ALMACERA 4</v>
      </c>
      <c r="B13" s="1">
        <f>[3]INGRESOS!F10</f>
        <v>1000</v>
      </c>
      <c r="C13" s="22" t="s">
        <v>0</v>
      </c>
      <c r="D13" s="2"/>
      <c r="E13" s="2"/>
      <c r="F13" s="8" t="str">
        <f>[4]INGRESOS!E10</f>
        <v>KONE ELEVADORES, S.A.</v>
      </c>
      <c r="G13" s="52">
        <f>[4]INGRESOS!F10</f>
        <v>2091</v>
      </c>
      <c r="H13" s="19" t="s">
        <v>5</v>
      </c>
      <c r="I13" s="9"/>
      <c r="K13" s="11" t="s">
        <v>0</v>
      </c>
      <c r="L13" s="97">
        <f>L9+L10</f>
        <v>16364.130000000001</v>
      </c>
      <c r="M13" s="13"/>
      <c r="N13" s="13">
        <f>L13/L15</f>
        <v>0.19170470212847462</v>
      </c>
      <c r="O13" s="39">
        <f>P13/'2015'!L13-1</f>
        <v>0</v>
      </c>
      <c r="P13" s="31">
        <f>P9+P10</f>
        <v>31314.21</v>
      </c>
      <c r="Q13" s="55">
        <f>L13/P13</f>
        <v>0.52257840769414277</v>
      </c>
    </row>
    <row r="14" spans="1:17" x14ac:dyDescent="0.25">
      <c r="A14" s="14" t="str">
        <f>[3]INGRESOS!E11</f>
        <v>C.P.SAN FCO. BORJA, 8</v>
      </c>
      <c r="B14" s="1">
        <f>[3]INGRESOS!F11</f>
        <v>900</v>
      </c>
      <c r="C14" s="22" t="s">
        <v>0</v>
      </c>
      <c r="D14" s="2"/>
      <c r="E14" s="2"/>
      <c r="F14" s="8" t="str">
        <f>[4]INGRESOS!E11</f>
        <v>KONE ELEVADORES, S.A.</v>
      </c>
      <c r="G14" s="52">
        <f>[4]INGRESOS!F11</f>
        <v>2000</v>
      </c>
      <c r="H14" s="19" t="s">
        <v>5</v>
      </c>
      <c r="I14" s="9"/>
      <c r="K14" s="11" t="s">
        <v>5</v>
      </c>
      <c r="L14" s="97">
        <f>L5+L6</f>
        <v>68997</v>
      </c>
      <c r="M14" s="13"/>
      <c r="N14" s="13">
        <f>L14/L15</f>
        <v>0.80829529787152532</v>
      </c>
      <c r="O14" s="39">
        <f>P14/'2015'!L14-1</f>
        <v>0.12836953453274114</v>
      </c>
      <c r="P14" s="31">
        <f>P5+P6</f>
        <v>49883.501999999993</v>
      </c>
      <c r="Q14" s="55">
        <f>L14/P14</f>
        <v>1.3831627137966378</v>
      </c>
    </row>
    <row r="15" spans="1:17" x14ac:dyDescent="0.25">
      <c r="A15" s="14" t="str">
        <f>[3]INGRESOS!E12</f>
        <v>C.P.CASTAN TOBEÑAS, 17</v>
      </c>
      <c r="B15" s="1">
        <f>[3]INGRESOS!F12</f>
        <v>828</v>
      </c>
      <c r="C15" s="22" t="s">
        <v>0</v>
      </c>
      <c r="D15" s="2"/>
      <c r="E15" s="2"/>
      <c r="F15" s="8" t="str">
        <f>[4]INGRESOS!E12</f>
        <v>KONE ELEVADORES, S.A.</v>
      </c>
      <c r="G15" s="52">
        <f>[4]INGRESOS!F12</f>
        <v>1800</v>
      </c>
      <c r="H15" s="19" t="s">
        <v>5</v>
      </c>
      <c r="I15" s="9"/>
      <c r="K15" s="11" t="s">
        <v>29</v>
      </c>
      <c r="L15" s="97">
        <f>L14+L13</f>
        <v>85361.13</v>
      </c>
      <c r="N15" s="17">
        <f>N14+N13</f>
        <v>1</v>
      </c>
      <c r="O15" s="39">
        <f>P15/'2015'!L15-1</f>
        <v>7.5143271512177368E-2</v>
      </c>
      <c r="P15" s="31">
        <f>P5+P6+P9+P10</f>
        <v>81197.712</v>
      </c>
      <c r="Q15" s="55">
        <f>L15/P15</f>
        <v>1.0512750654846039</v>
      </c>
    </row>
    <row r="16" spans="1:17" x14ac:dyDescent="0.25">
      <c r="A16" s="14" t="str">
        <f>[3]INGRESOS!E13</f>
        <v>C.P.NOU D'OCTUBRE, 16</v>
      </c>
      <c r="B16" s="1">
        <f>[3]INGRESOS!F13</f>
        <v>561.98</v>
      </c>
      <c r="C16" s="23" t="s">
        <v>0</v>
      </c>
      <c r="D16" s="3"/>
      <c r="E16" s="3"/>
      <c r="F16" s="8" t="str">
        <f>[4]INGRESOS!E13</f>
        <v>KONE ELEVADORES, S.A.</v>
      </c>
      <c r="G16" s="52">
        <f>[4]INGRESOS!F13</f>
        <v>1750</v>
      </c>
      <c r="H16" s="20" t="s">
        <v>5</v>
      </c>
      <c r="I16" s="10"/>
      <c r="M16" s="17"/>
      <c r="N16" s="17"/>
    </row>
    <row r="17" spans="1:9" x14ac:dyDescent="0.25">
      <c r="A17" s="14" t="str">
        <f>[3]INGRESOS!E14</f>
        <v>ANDRÉS CENTELLES GUAITA</v>
      </c>
      <c r="B17" s="1">
        <f>[3]INGRESOS!F14</f>
        <v>1583.36</v>
      </c>
      <c r="C17" s="23" t="s">
        <v>0</v>
      </c>
      <c r="D17" s="3"/>
      <c r="E17" s="3"/>
      <c r="F17" s="8" t="str">
        <f>[4]INGRESOS!E14</f>
        <v>KONE ELEVADORES, S.A.</v>
      </c>
      <c r="G17" s="52">
        <f>[4]INGRESOS!F14</f>
        <v>1950</v>
      </c>
      <c r="H17" s="20" t="s">
        <v>5</v>
      </c>
      <c r="I17" s="10"/>
    </row>
    <row r="18" spans="1:9" x14ac:dyDescent="0.25">
      <c r="A18" s="14" t="str">
        <f>[3]INGRESOS!E15</f>
        <v>NURIA MORERA-FEDERICO GIL</v>
      </c>
      <c r="B18" s="1">
        <f>[3]INGRESOS!F15</f>
        <v>120</v>
      </c>
      <c r="C18" s="23" t="s">
        <v>0</v>
      </c>
      <c r="D18" s="3"/>
      <c r="E18" s="3"/>
      <c r="F18" s="8" t="str">
        <f>[4]INGRESOS!E15</f>
        <v>KONE ELEVADORES, S.A.</v>
      </c>
      <c r="G18" s="52">
        <f>[4]INGRESOS!F15</f>
        <v>2150</v>
      </c>
      <c r="H18" s="20" t="s">
        <v>5</v>
      </c>
      <c r="I18" s="10"/>
    </row>
    <row r="19" spans="1:9" x14ac:dyDescent="0.25">
      <c r="A19" s="14" t="str">
        <f>[3]INGRESOS!E16</f>
        <v>CDAD. PROP. ALMACERA 4</v>
      </c>
      <c r="B19" s="1">
        <f>[3]INGRESOS!F16</f>
        <v>1000</v>
      </c>
      <c r="C19" s="23" t="s">
        <v>0</v>
      </c>
      <c r="D19" s="3"/>
      <c r="E19" s="3"/>
      <c r="F19" s="8" t="str">
        <f>[4]INGRESOS!E16</f>
        <v>C.P.SAN ANDRÉS, 41</v>
      </c>
      <c r="G19" s="52">
        <f>[4]INGRESOS!F16</f>
        <v>1800</v>
      </c>
      <c r="H19" s="20" t="s">
        <v>5</v>
      </c>
      <c r="I19" s="10"/>
    </row>
    <row r="20" spans="1:9" x14ac:dyDescent="0.25">
      <c r="A20" s="14" t="str">
        <f>[3]INGRESOS!E17</f>
        <v>TRAZIA FORMACION Y GESTION, S.L.</v>
      </c>
      <c r="B20" s="1"/>
      <c r="C20" s="23" t="s">
        <v>0</v>
      </c>
      <c r="D20" s="3"/>
      <c r="E20" s="3"/>
      <c r="F20" s="8" t="str">
        <f>[4]INGRESOS!E17</f>
        <v>C.P.ALMÁCERA, 4-IEE</v>
      </c>
      <c r="G20" s="52">
        <f>[4]INGRESOS!F17</f>
        <v>1300</v>
      </c>
      <c r="H20" s="20" t="s">
        <v>5</v>
      </c>
      <c r="I20" s="10"/>
    </row>
    <row r="21" spans="1:9" x14ac:dyDescent="0.25">
      <c r="A21" s="56" t="s">
        <v>17</v>
      </c>
      <c r="B21" s="57">
        <v>900</v>
      </c>
      <c r="C21" s="23" t="s">
        <v>0</v>
      </c>
      <c r="D21" s="58">
        <v>42644</v>
      </c>
      <c r="E21" s="3"/>
      <c r="F21" s="8" t="str">
        <f>[4]INGRESOS!E18</f>
        <v>KONE ELEVADORES, S.A.</v>
      </c>
      <c r="G21" s="52">
        <f>[4]INGRESOS!F18</f>
        <v>600</v>
      </c>
      <c r="H21" s="20" t="s">
        <v>5</v>
      </c>
      <c r="I21" s="10"/>
    </row>
    <row r="22" spans="1:9" x14ac:dyDescent="0.25">
      <c r="A22" s="56" t="s">
        <v>17</v>
      </c>
      <c r="B22" s="57">
        <v>900</v>
      </c>
      <c r="C22" s="23" t="s">
        <v>0</v>
      </c>
      <c r="D22" s="58">
        <v>42675</v>
      </c>
      <c r="E22" s="3"/>
      <c r="F22" s="8" t="str">
        <f>[4]INGRESOS!E19</f>
        <v>KONE ELEVADORES, S.A.</v>
      </c>
      <c r="G22" s="52">
        <f>[4]INGRESOS!F19</f>
        <v>2050</v>
      </c>
      <c r="H22" s="21" t="s">
        <v>5</v>
      </c>
      <c r="I22" s="10"/>
    </row>
    <row r="23" spans="1:9" x14ac:dyDescent="0.25">
      <c r="A23" s="56" t="s">
        <v>17</v>
      </c>
      <c r="B23" s="57">
        <v>900</v>
      </c>
      <c r="C23" s="23" t="s">
        <v>0</v>
      </c>
      <c r="D23" s="58">
        <v>42705</v>
      </c>
      <c r="E23" s="3"/>
      <c r="F23" s="8" t="str">
        <f>[4]INGRESOS!E20</f>
        <v>KONE ELEVADORES, S.A.</v>
      </c>
      <c r="G23" s="52">
        <f>[4]INGRESOS!F20</f>
        <v>2150</v>
      </c>
      <c r="H23" s="20" t="s">
        <v>5</v>
      </c>
      <c r="I23" s="10"/>
    </row>
    <row r="24" spans="1:9" x14ac:dyDescent="0.25">
      <c r="A24" s="14" t="str">
        <f>[3]INGRESOS!E21</f>
        <v>TRAZIA FORMACION Y GESTION, S.L.</v>
      </c>
      <c r="B24" s="1"/>
      <c r="C24" s="23" t="s">
        <v>0</v>
      </c>
      <c r="D24" s="3"/>
      <c r="E24" s="3"/>
      <c r="F24" s="8" t="str">
        <f>[4]INGRESOS!E21</f>
        <v>KONE ELEVADORES, S.A.</v>
      </c>
      <c r="G24" s="52">
        <f>[4]INGRESOS!F21</f>
        <v>2200</v>
      </c>
      <c r="H24" s="20" t="s">
        <v>5</v>
      </c>
      <c r="I24" s="10"/>
    </row>
    <row r="25" spans="1:9" x14ac:dyDescent="0.25">
      <c r="A25" s="14">
        <f>[3]INGRESOS!E22</f>
        <v>0</v>
      </c>
      <c r="B25" s="1">
        <f>[3]INGRESOS!F22</f>
        <v>0</v>
      </c>
      <c r="C25" s="23" t="s">
        <v>0</v>
      </c>
      <c r="D25" s="3"/>
      <c r="E25" s="3"/>
      <c r="F25" s="8" t="str">
        <f>[4]INGRESOS!E22</f>
        <v>KONE ELEVADORES, S.A.</v>
      </c>
      <c r="G25" s="52">
        <f>[4]INGRESOS!F22</f>
        <v>2600</v>
      </c>
      <c r="H25" s="20" t="s">
        <v>5</v>
      </c>
      <c r="I25" s="10"/>
    </row>
    <row r="26" spans="1:9" x14ac:dyDescent="0.25">
      <c r="A26" s="14">
        <f>[3]INGRESOS!E23</f>
        <v>0</v>
      </c>
      <c r="B26" s="1">
        <f>[3]INGRESOS!F23</f>
        <v>0</v>
      </c>
      <c r="C26" s="23" t="s">
        <v>0</v>
      </c>
      <c r="D26" s="3"/>
      <c r="E26" s="3"/>
      <c r="F26" s="8" t="str">
        <f>[4]INGRESOS!E23</f>
        <v xml:space="preserve">C.E.I. PETER PAN </v>
      </c>
      <c r="G26" s="52">
        <f>[4]INGRESOS!F23</f>
        <v>300</v>
      </c>
      <c r="H26" s="20" t="s">
        <v>5</v>
      </c>
      <c r="I26" s="10"/>
    </row>
    <row r="27" spans="1:9" x14ac:dyDescent="0.25">
      <c r="A27" s="14">
        <f>[3]INGRESOS!E24</f>
        <v>0</v>
      </c>
      <c r="B27" s="1">
        <f>[3]INGRESOS!F24</f>
        <v>0</v>
      </c>
      <c r="C27" s="23" t="s">
        <v>0</v>
      </c>
      <c r="D27" s="3"/>
      <c r="E27" s="3"/>
      <c r="F27" s="8" t="str">
        <f>[4]INGRESOS!E24</f>
        <v>KONE ELEVADORES, S.A.</v>
      </c>
      <c r="G27" s="52">
        <f>[4]INGRESOS!F24</f>
        <v>2250</v>
      </c>
    </row>
    <row r="28" spans="1:9" x14ac:dyDescent="0.25">
      <c r="A28" s="14">
        <f>[3]INGRESOS!E25</f>
        <v>0</v>
      </c>
      <c r="B28" s="1">
        <f>[3]INGRESOS!F25</f>
        <v>0</v>
      </c>
      <c r="C28" s="23" t="s">
        <v>0</v>
      </c>
      <c r="D28" s="3"/>
      <c r="E28" s="3"/>
      <c r="F28" s="8" t="str">
        <f>[4]INGRESOS!E25</f>
        <v>KONE ELEVADORES, S.A.</v>
      </c>
      <c r="G28" s="52">
        <f>[4]INGRESOS!F25</f>
        <v>2150</v>
      </c>
    </row>
    <row r="29" spans="1:9" x14ac:dyDescent="0.25">
      <c r="A29" s="14">
        <f>[3]INGRESOS!E26</f>
        <v>0</v>
      </c>
      <c r="B29" s="1">
        <f>[3]INGRESOS!F26</f>
        <v>0</v>
      </c>
      <c r="C29" s="23" t="s">
        <v>0</v>
      </c>
      <c r="D29" s="3"/>
      <c r="E29" s="3"/>
      <c r="F29" s="8" t="str">
        <f>[4]INGRESOS!E26</f>
        <v>KONE ELEVADORES, S.A.</v>
      </c>
      <c r="G29" s="52">
        <f>[4]INGRESOS!F26</f>
        <v>800</v>
      </c>
    </row>
    <row r="30" spans="1:9" x14ac:dyDescent="0.25">
      <c r="A30" s="14">
        <f>[3]INGRESOS!E27</f>
        <v>0</v>
      </c>
      <c r="B30" s="1">
        <f>[3]INGRESOS!F27</f>
        <v>0</v>
      </c>
      <c r="C30" s="23" t="s">
        <v>0</v>
      </c>
      <c r="D30" s="3"/>
      <c r="E30" s="3"/>
      <c r="F30" s="8" t="str">
        <f>[4]INGRESOS!E27</f>
        <v>COLEGIO LA SALLE ALCOI</v>
      </c>
      <c r="G30" s="52">
        <f>[4]INGRESOS!F27</f>
        <v>2990</v>
      </c>
    </row>
    <row r="31" spans="1:9" x14ac:dyDescent="0.25">
      <c r="A31" s="14">
        <f>[3]INGRESOS!E28</f>
        <v>0</v>
      </c>
      <c r="B31" s="1">
        <f>[3]INGRESOS!F28</f>
        <v>0</v>
      </c>
      <c r="C31" s="23" t="s">
        <v>0</v>
      </c>
      <c r="D31" s="3"/>
      <c r="E31" s="3"/>
      <c r="F31" s="8" t="str">
        <f>[4]INGRESOS!E28</f>
        <v>KONE ELEVADORES, S.A.</v>
      </c>
      <c r="G31" s="52">
        <f>[4]INGRESOS!F28</f>
        <v>2250</v>
      </c>
    </row>
    <row r="32" spans="1:9" x14ac:dyDescent="0.25">
      <c r="A32" s="14">
        <f>[3]INGRESOS!E29</f>
        <v>0</v>
      </c>
      <c r="B32" s="1">
        <f>[3]INGRESOS!F29</f>
        <v>0</v>
      </c>
      <c r="C32" s="23" t="s">
        <v>0</v>
      </c>
      <c r="D32" s="3"/>
      <c r="E32" s="3"/>
      <c r="F32" s="8" t="str">
        <f>[4]INGRESOS!E29</f>
        <v>KONE ELEVADORES, S.A.</v>
      </c>
      <c r="G32" s="52">
        <f>[4]INGRESOS!F29</f>
        <v>1756</v>
      </c>
    </row>
    <row r="33" spans="1:7" x14ac:dyDescent="0.25">
      <c r="A33" s="14">
        <f>[3]INGRESOS!E30</f>
        <v>0</v>
      </c>
      <c r="B33" s="1">
        <f>[3]INGRESOS!F30</f>
        <v>0</v>
      </c>
      <c r="C33" s="23" t="s">
        <v>0</v>
      </c>
      <c r="D33" s="3"/>
      <c r="E33" s="3"/>
      <c r="F33" s="8" t="str">
        <f>[4]INGRESOS!E30</f>
        <v>KONE ELEVADORES, S.A.</v>
      </c>
      <c r="G33" s="52">
        <f>[4]INGRESOS!F30</f>
        <v>2540</v>
      </c>
    </row>
    <row r="34" spans="1:7" x14ac:dyDescent="0.25">
      <c r="A34" s="14">
        <f>[3]INGRESOS!E31</f>
        <v>0</v>
      </c>
      <c r="B34" s="1">
        <f>[3]INGRESOS!F31</f>
        <v>0</v>
      </c>
      <c r="C34" s="23" t="s">
        <v>0</v>
      </c>
      <c r="D34" s="3"/>
      <c r="E34" s="3"/>
      <c r="F34" s="8" t="str">
        <f>[4]INGRESOS!E31</f>
        <v>C.P. CASTÁN TOBEÑAS 17</v>
      </c>
      <c r="G34" s="52">
        <f>[4]INGRESOS!F31</f>
        <v>2700</v>
      </c>
    </row>
    <row r="35" spans="1:7" x14ac:dyDescent="0.25">
      <c r="A35" s="14">
        <f>[3]INGRESOS!E32</f>
        <v>0</v>
      </c>
      <c r="B35" s="1">
        <f>[3]INGRESOS!F32</f>
        <v>0</v>
      </c>
      <c r="C35" s="23" t="s">
        <v>0</v>
      </c>
      <c r="D35" s="3"/>
      <c r="E35" s="3"/>
      <c r="F35" s="8" t="str">
        <f>[4]INGRESOS!E32</f>
        <v>MARVI ASCENSORES</v>
      </c>
      <c r="G35" s="52">
        <f>[4]INGRESOS!F32</f>
        <v>1700</v>
      </c>
    </row>
    <row r="36" spans="1:7" x14ac:dyDescent="0.25">
      <c r="A36" s="14">
        <f>[3]INGRESOS!E33</f>
        <v>0</v>
      </c>
      <c r="B36" s="1">
        <f>[3]INGRESOS!F33</f>
        <v>0</v>
      </c>
      <c r="C36" s="23" t="s">
        <v>0</v>
      </c>
      <c r="D36" s="3"/>
      <c r="E36" s="3"/>
      <c r="F36" s="8" t="str">
        <f>[4]INGRESOS!E33</f>
        <v>KONE ELEVADORES, S.A.</v>
      </c>
      <c r="G36" s="52">
        <f>[4]INGRESOS!F33</f>
        <v>1550</v>
      </c>
    </row>
    <row r="37" spans="1:7" x14ac:dyDescent="0.25">
      <c r="A37" s="14">
        <f>[3]INGRESOS!E34</f>
        <v>0</v>
      </c>
      <c r="B37" s="1">
        <f>[3]INGRESOS!F34</f>
        <v>0</v>
      </c>
      <c r="C37" s="23" t="s">
        <v>0</v>
      </c>
      <c r="D37" s="3"/>
      <c r="E37" s="3"/>
      <c r="F37" s="8" t="str">
        <f>[4]INGRESOS!E34</f>
        <v>CDAD. PROP. FCO. CUBELLS 27</v>
      </c>
      <c r="G37" s="52">
        <f>[4]INGRESOS!F34</f>
        <v>600</v>
      </c>
    </row>
    <row r="38" spans="1:7" x14ac:dyDescent="0.25">
      <c r="A38" s="14">
        <f>[3]INGRESOS!E35</f>
        <v>0</v>
      </c>
      <c r="B38" s="1">
        <f>[3]INGRESOS!F35</f>
        <v>0</v>
      </c>
      <c r="C38" s="23" t="s">
        <v>0</v>
      </c>
      <c r="D38" s="3"/>
      <c r="E38" s="3"/>
      <c r="F38" s="8" t="str">
        <f>[4]INGRESOS!E35</f>
        <v>CDAD. PROP. ANDILLA 40</v>
      </c>
      <c r="G38" s="52">
        <f>[4]INGRESOS!F35</f>
        <v>800</v>
      </c>
    </row>
    <row r="39" spans="1:7" x14ac:dyDescent="0.25">
      <c r="A39" s="14">
        <f>[3]INGRESOS!E36</f>
        <v>0</v>
      </c>
      <c r="B39" s="1">
        <f>[3]INGRESOS!F36</f>
        <v>0</v>
      </c>
      <c r="C39" s="23" t="s">
        <v>0</v>
      </c>
      <c r="D39" s="3"/>
      <c r="E39" s="3"/>
      <c r="F39" s="8" t="str">
        <f>[4]INGRESOS!E36</f>
        <v>KONE ELEVADORES, S.A.</v>
      </c>
      <c r="G39" s="52">
        <f>[4]INGRESOS!F36</f>
        <v>1350</v>
      </c>
    </row>
    <row r="40" spans="1:7" x14ac:dyDescent="0.25">
      <c r="A40" s="14">
        <f>[3]INGRESOS!E37</f>
        <v>0</v>
      </c>
      <c r="B40" s="1">
        <f>[3]INGRESOS!F37</f>
        <v>0</v>
      </c>
      <c r="C40" s="23" t="s">
        <v>0</v>
      </c>
      <c r="D40" s="3"/>
      <c r="F40" s="8" t="str">
        <f>[4]INGRESOS!E37</f>
        <v>KONE ELEVADORES, S.A.</v>
      </c>
      <c r="G40" s="52">
        <f>[4]INGRESOS!F37</f>
        <v>2550</v>
      </c>
    </row>
    <row r="41" spans="1:7" x14ac:dyDescent="0.25">
      <c r="F41" s="8" t="str">
        <f>[4]INGRESOS!E38</f>
        <v>KONE ELEVADORES, S.A.</v>
      </c>
      <c r="G41" s="52">
        <f>[4]INGRESOS!F38</f>
        <v>2000</v>
      </c>
    </row>
    <row r="42" spans="1:7" x14ac:dyDescent="0.25">
      <c r="F42" s="8" t="str">
        <f>[4]INGRESOS!E39</f>
        <v>KONE ELEVADORES, S.A.</v>
      </c>
      <c r="G42" s="52">
        <f>[4]INGRESOS!F39</f>
        <v>650</v>
      </c>
    </row>
    <row r="43" spans="1:7" x14ac:dyDescent="0.25">
      <c r="F43" s="8" t="str">
        <f>[4]INGRESOS!E40</f>
        <v>KONE ELEVADORES, S.A.</v>
      </c>
      <c r="G43" s="52">
        <f>[4]INGRESOS!F40</f>
        <v>650</v>
      </c>
    </row>
    <row r="44" spans="1:7" x14ac:dyDescent="0.25">
      <c r="F44" s="8">
        <f>[4]INGRESOS!E41</f>
        <v>0</v>
      </c>
      <c r="G44" s="52">
        <f>[4]INGRESOS!F41</f>
        <v>0</v>
      </c>
    </row>
    <row r="45" spans="1:7" x14ac:dyDescent="0.25">
      <c r="F45" s="8">
        <f>[4]INGRESOS!E42</f>
        <v>0</v>
      </c>
      <c r="G45" s="52">
        <f>[4]INGRESOS!F42</f>
        <v>0</v>
      </c>
    </row>
    <row r="46" spans="1:7" x14ac:dyDescent="0.25">
      <c r="F46" s="8">
        <f>[4]INGRESOS!E43</f>
        <v>0</v>
      </c>
      <c r="G46" s="52">
        <f>[4]INGRESOS!F43</f>
        <v>0</v>
      </c>
    </row>
    <row r="47" spans="1:7" x14ac:dyDescent="0.25">
      <c r="F47" s="8">
        <f>[4]INGRESOS!E44</f>
        <v>0</v>
      </c>
      <c r="G47" s="52">
        <f>[4]INGRESOS!F44</f>
        <v>0</v>
      </c>
    </row>
    <row r="48" spans="1:7" x14ac:dyDescent="0.25">
      <c r="F48" s="8">
        <f>[4]INGRESOS!E45</f>
        <v>0</v>
      </c>
      <c r="G48" s="52">
        <f>[4]INGRESOS!F45</f>
        <v>0</v>
      </c>
    </row>
    <row r="49" spans="6:7" x14ac:dyDescent="0.25">
      <c r="F49" s="8">
        <f>[4]INGRESOS!E46</f>
        <v>0</v>
      </c>
      <c r="G49" s="52">
        <f>[4]INGRESOS!F46</f>
        <v>0</v>
      </c>
    </row>
    <row r="50" spans="6:7" x14ac:dyDescent="0.25">
      <c r="F50" s="8">
        <f>[4]INGRESOS!E47</f>
        <v>0</v>
      </c>
      <c r="G50" s="52">
        <f>[4]INGRESOS!F47</f>
        <v>0</v>
      </c>
    </row>
    <row r="51" spans="6:7" x14ac:dyDescent="0.25">
      <c r="F51" s="8">
        <f>[4]INGRESOS!E48</f>
        <v>0</v>
      </c>
      <c r="G51" s="52">
        <f>[4]INGRESOS!F48</f>
        <v>0</v>
      </c>
    </row>
    <row r="52" spans="6:7" x14ac:dyDescent="0.25">
      <c r="F52" s="8">
        <f>[4]INGRESOS!E49</f>
        <v>0</v>
      </c>
      <c r="G52" s="52">
        <f>[4]INGRESOS!F49</f>
        <v>0</v>
      </c>
    </row>
  </sheetData>
  <sheetProtection sheet="1" objects="1" scenarios="1"/>
  <conditionalFormatting sqref="Q5:Q15">
    <cfRule type="cellIs" dxfId="1" priority="1" operator="lessThan">
      <formula>1</formula>
    </cfRule>
  </conditionalFormatting>
  <dataValidations count="3">
    <dataValidation type="list" errorStyle="information" sqref="A5:A40">
      <formula1>clientes</formula1>
    </dataValidation>
    <dataValidation type="custom" errorStyle="warning" showInputMessage="1" showErrorMessage="1" error="No olvides introducir una fecha en la primera columna._x000a_Esta &quot;fecha de registro&quot; es la que se usa para determinar la asignación a los distintos trimestres." sqref="B5:B40">
      <formula1>NOT(ISBLANK(XFB5))</formula1>
    </dataValidation>
    <dataValidation type="list" allowBlank="1" showInputMessage="1" showErrorMessage="1" sqref="E5:E35 D5:D20 D24:D35">
      <formula1>#REF!</formula1>
    </dataValidation>
  </dataValidations>
  <pageMargins left="0.7" right="0.7" top="0.75" bottom="0.75" header="0.3" footer="0.3"/>
  <pageSetup paperSize="9" fitToWidth="0" orientation="landscape" horizontalDpi="0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workbookViewId="0">
      <selection activeCell="L13" sqref="L13:L15"/>
    </sheetView>
  </sheetViews>
  <sheetFormatPr baseColWidth="10" defaultRowHeight="15" x14ac:dyDescent="0.25"/>
  <cols>
    <col min="1" max="1" width="16.85546875" style="11" customWidth="1"/>
    <col min="3" max="3" width="3.7109375" style="18" customWidth="1"/>
    <col min="4" max="4" width="5.85546875" style="11" customWidth="1"/>
    <col min="5" max="5" width="3.42578125" customWidth="1"/>
    <col min="6" max="6" width="11.85546875" style="53" customWidth="1"/>
    <col min="7" max="7" width="11" style="53" bestFit="1" customWidth="1"/>
    <col min="8" max="8" width="5.28515625" style="18" customWidth="1"/>
    <col min="9" max="9" width="2.5703125" style="11" customWidth="1"/>
    <col min="10" max="10" width="1.85546875" customWidth="1"/>
    <col min="11" max="11" width="7.140625" style="11" customWidth="1"/>
    <col min="12" max="12" width="8.42578125" style="11" customWidth="1"/>
    <col min="13" max="13" width="7" style="11" customWidth="1"/>
    <col min="14" max="14" width="11.42578125" style="11"/>
    <col min="15" max="15" width="10.28515625" style="11" customWidth="1"/>
    <col min="16" max="16" width="12" style="11" bestFit="1" customWidth="1"/>
  </cols>
  <sheetData>
    <row r="1" spans="1:17" x14ac:dyDescent="0.25">
      <c r="A1" s="11">
        <v>2017</v>
      </c>
    </row>
    <row r="2" spans="1:17" x14ac:dyDescent="0.25">
      <c r="D2" s="24"/>
      <c r="E2" s="7"/>
    </row>
    <row r="3" spans="1:17" x14ac:dyDescent="0.25">
      <c r="B3" s="6"/>
      <c r="G3" s="54"/>
    </row>
    <row r="4" spans="1:17" ht="33.75" x14ac:dyDescent="0.25">
      <c r="K4" s="26" t="s">
        <v>5</v>
      </c>
      <c r="L4" s="25" t="s">
        <v>95</v>
      </c>
      <c r="M4" s="25" t="s">
        <v>27</v>
      </c>
      <c r="N4" s="25" t="s">
        <v>25</v>
      </c>
      <c r="O4" s="25" t="s">
        <v>100</v>
      </c>
      <c r="P4" s="25" t="s">
        <v>99</v>
      </c>
      <c r="Q4" s="25" t="s">
        <v>96</v>
      </c>
    </row>
    <row r="5" spans="1:17" x14ac:dyDescent="0.25">
      <c r="A5" s="61" t="s">
        <v>102</v>
      </c>
      <c r="B5" s="62">
        <v>900</v>
      </c>
      <c r="C5" s="22" t="s">
        <v>0</v>
      </c>
      <c r="D5" s="2"/>
      <c r="E5" s="2"/>
      <c r="F5" s="76" t="s">
        <v>117</v>
      </c>
      <c r="G5" s="82">
        <v>2300</v>
      </c>
      <c r="H5" s="19" t="s">
        <v>5</v>
      </c>
      <c r="I5" s="9"/>
      <c r="K5" s="11" t="s">
        <v>10</v>
      </c>
      <c r="L5" s="12">
        <f>SUMPRODUCT((F5:F52="KONE ELEVADORES, S.A.")*(G5:G52))</f>
        <v>25779</v>
      </c>
      <c r="M5" s="13">
        <f>IF(L5&lt;&gt;0,L5/L14,"")</f>
        <v>0.50431560661074237</v>
      </c>
      <c r="N5" s="17">
        <f>IF(L5&lt;&gt;0,M5*N14,"SIN FACTURACIÓN")</f>
        <v>0.28864745171965756</v>
      </c>
      <c r="O5" s="32">
        <v>0.15</v>
      </c>
      <c r="P5" s="30">
        <f>'2016'!L5*(1+O5)</f>
        <v>60705.049999999996</v>
      </c>
      <c r="Q5" s="55">
        <f>L5/P5</f>
        <v>0.42465989238127638</v>
      </c>
    </row>
    <row r="6" spans="1:17" x14ac:dyDescent="0.25">
      <c r="A6" s="63" t="s">
        <v>103</v>
      </c>
      <c r="B6" s="64">
        <v>520.33000000000004</v>
      </c>
      <c r="C6" s="22" t="s">
        <v>0</v>
      </c>
      <c r="D6" s="2"/>
      <c r="E6" s="2"/>
      <c r="F6" s="76" t="s">
        <v>118</v>
      </c>
      <c r="G6" s="82">
        <v>2100</v>
      </c>
      <c r="H6" s="19" t="s">
        <v>5</v>
      </c>
      <c r="I6" s="9"/>
      <c r="K6" s="11" t="s">
        <v>11</v>
      </c>
      <c r="L6" s="12">
        <f>SUMPRODUCT((F5:F52&lt;&gt;"KONE ELEVADORES, S.A.")*(G5:G52))</f>
        <v>25337.8</v>
      </c>
      <c r="M6" s="13">
        <f>IF(L6&lt;&gt;0,L6/L15,"")</f>
        <v>0.28370733551271732</v>
      </c>
      <c r="N6" s="17">
        <f>IF(L6&lt;&gt;0,M6*N15,"SIN FACTURACIÓN")</f>
        <v>0.28370733551271732</v>
      </c>
      <c r="O6" s="32">
        <v>0.05</v>
      </c>
      <c r="P6" s="30">
        <f>'2016'!L6*(1+O6)</f>
        <v>17020.5</v>
      </c>
      <c r="Q6" s="55">
        <f>L6/P6</f>
        <v>1.4886636702799565</v>
      </c>
    </row>
    <row r="7" spans="1:17" x14ac:dyDescent="0.25">
      <c r="A7" s="65" t="s">
        <v>104</v>
      </c>
      <c r="B7" s="66">
        <v>2000</v>
      </c>
      <c r="C7" s="22" t="s">
        <v>0</v>
      </c>
      <c r="D7" s="2"/>
      <c r="E7" s="2"/>
      <c r="F7" s="76" t="s">
        <v>6</v>
      </c>
      <c r="G7" s="82">
        <v>3050</v>
      </c>
      <c r="H7" s="19" t="s">
        <v>5</v>
      </c>
      <c r="I7" s="9"/>
      <c r="O7" s="13"/>
      <c r="Q7" s="55"/>
    </row>
    <row r="8" spans="1:17" x14ac:dyDescent="0.25">
      <c r="A8" s="67" t="s">
        <v>102</v>
      </c>
      <c r="B8" s="1">
        <v>900</v>
      </c>
      <c r="C8" s="22" t="s">
        <v>0</v>
      </c>
      <c r="D8" s="2"/>
      <c r="E8" s="2"/>
      <c r="F8" s="76" t="s">
        <v>118</v>
      </c>
      <c r="G8" s="82">
        <v>2100</v>
      </c>
      <c r="H8" s="19" t="s">
        <v>5</v>
      </c>
      <c r="I8" s="9"/>
      <c r="K8" s="26" t="s">
        <v>0</v>
      </c>
      <c r="O8" s="13"/>
      <c r="Q8" s="55"/>
    </row>
    <row r="9" spans="1:17" x14ac:dyDescent="0.25">
      <c r="A9" s="67" t="s">
        <v>105</v>
      </c>
      <c r="B9" s="1">
        <v>800</v>
      </c>
      <c r="C9" s="22" t="s">
        <v>0</v>
      </c>
      <c r="D9" s="2"/>
      <c r="E9" s="2"/>
      <c r="F9" s="76" t="s">
        <v>119</v>
      </c>
      <c r="G9" s="82">
        <v>604.79999999999995</v>
      </c>
      <c r="H9" s="19" t="s">
        <v>5</v>
      </c>
      <c r="I9" s="9"/>
      <c r="K9" s="11" t="s">
        <v>131</v>
      </c>
      <c r="L9" s="12">
        <f>SUMPRODUCT((A5:A48="Garchitorena, s.l.")*(B5:B48))</f>
        <v>10800</v>
      </c>
      <c r="M9" s="13">
        <f>IF(L9&lt;&gt;0,L9/L13,"")</f>
        <v>0.28277551499181525</v>
      </c>
      <c r="N9" s="17">
        <f t="shared" ref="N9:N10" si="0">IF(L9&lt;&gt;0,M9*N18,"SIN FACTURACIÓN")</f>
        <v>0</v>
      </c>
      <c r="O9" s="32">
        <v>0</v>
      </c>
      <c r="P9" s="30">
        <f>'2016'!L9*(1+O9)</f>
        <v>2700</v>
      </c>
      <c r="Q9" s="55">
        <f>L9/P9</f>
        <v>4</v>
      </c>
    </row>
    <row r="10" spans="1:17" x14ac:dyDescent="0.25">
      <c r="A10" s="67" t="s">
        <v>106</v>
      </c>
      <c r="B10" s="1">
        <v>1239.67</v>
      </c>
      <c r="C10" s="22" t="s">
        <v>0</v>
      </c>
      <c r="D10" s="2"/>
      <c r="E10" s="2"/>
      <c r="F10" s="78" t="s">
        <v>6</v>
      </c>
      <c r="G10" s="83">
        <v>2250</v>
      </c>
      <c r="H10" s="19" t="s">
        <v>5</v>
      </c>
      <c r="I10" s="9"/>
      <c r="K10" s="11" t="s">
        <v>11</v>
      </c>
      <c r="L10" s="12">
        <f>SUMPRODUCT((A5:A46&lt;&gt;"Garchitorena, s.l.")*(B5:B46))</f>
        <v>27392.84</v>
      </c>
      <c r="M10" s="13">
        <f>IF(L10&lt;&gt;0,L10/L13,"")</f>
        <v>0.71722448500818481</v>
      </c>
      <c r="N10" s="17">
        <f t="shared" si="0"/>
        <v>0</v>
      </c>
      <c r="O10" s="32">
        <v>-0.15</v>
      </c>
      <c r="P10" s="30">
        <f>'2016'!L10*(1+O10)</f>
        <v>11614.5105</v>
      </c>
      <c r="Q10" s="55">
        <f>L10/P10</f>
        <v>2.3585014624593952</v>
      </c>
    </row>
    <row r="11" spans="1:17" x14ac:dyDescent="0.25">
      <c r="A11" s="68" t="s">
        <v>102</v>
      </c>
      <c r="B11" s="1">
        <v>900</v>
      </c>
      <c r="C11" s="22" t="s">
        <v>0</v>
      </c>
      <c r="D11" s="2"/>
      <c r="E11" s="2"/>
      <c r="F11" s="78" t="s">
        <v>120</v>
      </c>
      <c r="G11" s="83">
        <v>445</v>
      </c>
      <c r="H11" s="19" t="s">
        <v>5</v>
      </c>
      <c r="I11" s="9"/>
      <c r="O11" s="13"/>
      <c r="Q11" s="55"/>
    </row>
    <row r="12" spans="1:17" x14ac:dyDescent="0.25">
      <c r="A12" s="67" t="s">
        <v>102</v>
      </c>
      <c r="B12" s="1">
        <v>900</v>
      </c>
      <c r="C12" s="22" t="s">
        <v>0</v>
      </c>
      <c r="D12" s="2"/>
      <c r="E12" s="2"/>
      <c r="F12" s="76" t="s">
        <v>121</v>
      </c>
      <c r="G12" s="84">
        <v>819</v>
      </c>
      <c r="H12" s="19" t="s">
        <v>5</v>
      </c>
      <c r="I12" s="9"/>
      <c r="K12" s="26" t="s">
        <v>28</v>
      </c>
      <c r="O12" s="13"/>
      <c r="Q12" s="55"/>
    </row>
    <row r="13" spans="1:17" x14ac:dyDescent="0.25">
      <c r="A13" s="69" t="s">
        <v>103</v>
      </c>
      <c r="B13" s="1">
        <v>2081.2800000000002</v>
      </c>
      <c r="C13" s="22" t="s">
        <v>0</v>
      </c>
      <c r="D13" s="2"/>
      <c r="E13" s="2"/>
      <c r="F13" s="76" t="s">
        <v>6</v>
      </c>
      <c r="G13" s="84">
        <v>2150</v>
      </c>
      <c r="H13" s="19" t="s">
        <v>5</v>
      </c>
      <c r="I13" s="9"/>
      <c r="K13" s="11" t="s">
        <v>0</v>
      </c>
      <c r="L13" s="97">
        <f>L9+L10</f>
        <v>38192.839999999997</v>
      </c>
      <c r="M13" s="13"/>
      <c r="N13" s="17">
        <f>IF(L13&lt;&gt;0,L13/$L$15,"SIN FACTURACIÓN")</f>
        <v>0.42764521276762507</v>
      </c>
      <c r="O13" s="39">
        <f>P13/'2016'!L13-1</f>
        <v>-0.12525074660247748</v>
      </c>
      <c r="P13" s="31">
        <f>P9+P10</f>
        <v>14314.5105</v>
      </c>
      <c r="Q13" s="55">
        <f>L13/P13</f>
        <v>2.6681205759707951</v>
      </c>
    </row>
    <row r="14" spans="1:17" x14ac:dyDescent="0.25">
      <c r="A14" s="69" t="s">
        <v>107</v>
      </c>
      <c r="B14" s="1">
        <v>555.58000000000004</v>
      </c>
      <c r="C14" s="22" t="s">
        <v>0</v>
      </c>
      <c r="D14" s="2"/>
      <c r="E14" s="2"/>
      <c r="F14" s="78" t="s">
        <v>122</v>
      </c>
      <c r="G14" s="85">
        <v>931.5</v>
      </c>
      <c r="H14" s="19" t="s">
        <v>5</v>
      </c>
      <c r="I14" s="9"/>
      <c r="K14" s="11" t="s">
        <v>5</v>
      </c>
      <c r="L14" s="97">
        <f>L5+L6</f>
        <v>51116.800000000003</v>
      </c>
      <c r="M14" s="13"/>
      <c r="N14" s="17">
        <f>IF(L14&lt;&gt;0,L14/$L$15,"SIN FACTURACIÓN")</f>
        <v>0.57235478723237498</v>
      </c>
      <c r="O14" s="39">
        <f>P14/'2016'!L14-1</f>
        <v>0.12650622490832908</v>
      </c>
      <c r="P14" s="31">
        <f>P5+P6</f>
        <v>77725.549999999988</v>
      </c>
      <c r="Q14" s="55">
        <f>L14/P14</f>
        <v>0.65765761708987602</v>
      </c>
    </row>
    <row r="15" spans="1:17" x14ac:dyDescent="0.25">
      <c r="A15" s="69" t="s">
        <v>107</v>
      </c>
      <c r="B15" s="1">
        <v>789.92</v>
      </c>
      <c r="C15" s="22" t="s">
        <v>0</v>
      </c>
      <c r="D15" s="2"/>
      <c r="E15" s="2"/>
      <c r="F15" s="78" t="s">
        <v>123</v>
      </c>
      <c r="G15" s="85">
        <v>400</v>
      </c>
      <c r="H15" s="19" t="s">
        <v>5</v>
      </c>
      <c r="I15" s="9"/>
      <c r="K15" s="11" t="s">
        <v>29</v>
      </c>
      <c r="L15" s="97">
        <f>L14+L13</f>
        <v>89309.64</v>
      </c>
      <c r="N15" s="17">
        <f>IF(L15&lt;&gt;0,L15/$L$15,"SIN FACTURACIÓN")</f>
        <v>1</v>
      </c>
      <c r="O15" s="39">
        <f>P15/'2016'!L15-1</f>
        <v>7.8243229676083104E-2</v>
      </c>
      <c r="P15" s="31">
        <f>P5+P6+P9+P10</f>
        <v>92040.060499999992</v>
      </c>
      <c r="Q15" s="55">
        <f>L15/P15</f>
        <v>0.97033443388490614</v>
      </c>
    </row>
    <row r="16" spans="1:17" x14ac:dyDescent="0.25">
      <c r="A16" s="70" t="s">
        <v>102</v>
      </c>
      <c r="B16" s="62">
        <v>900</v>
      </c>
      <c r="C16" s="23" t="s">
        <v>0</v>
      </c>
      <c r="D16" s="3"/>
      <c r="E16" s="3"/>
      <c r="F16" s="76" t="s">
        <v>6</v>
      </c>
      <c r="G16" s="86">
        <v>2100</v>
      </c>
      <c r="H16" s="20" t="s">
        <v>5</v>
      </c>
      <c r="I16" s="10"/>
      <c r="M16" s="17"/>
      <c r="N16" s="17"/>
    </row>
    <row r="17" spans="1:9" x14ac:dyDescent="0.25">
      <c r="A17" s="65" t="s">
        <v>108</v>
      </c>
      <c r="B17" s="66">
        <v>450</v>
      </c>
      <c r="C17" s="23" t="s">
        <v>0</v>
      </c>
      <c r="D17" s="3"/>
      <c r="E17" s="3"/>
      <c r="F17" s="76" t="s">
        <v>6</v>
      </c>
      <c r="G17" s="86">
        <v>2200</v>
      </c>
      <c r="H17" s="20" t="s">
        <v>5</v>
      </c>
      <c r="I17" s="10"/>
    </row>
    <row r="18" spans="1:9" x14ac:dyDescent="0.25">
      <c r="A18" s="69" t="s">
        <v>109</v>
      </c>
      <c r="B18" s="1">
        <v>1170</v>
      </c>
      <c r="C18" s="23" t="s">
        <v>0</v>
      </c>
      <c r="D18" s="3"/>
      <c r="E18" s="3"/>
      <c r="F18" s="76" t="s">
        <v>6</v>
      </c>
      <c r="G18" s="86">
        <v>2400</v>
      </c>
      <c r="H18" s="20" t="s">
        <v>5</v>
      </c>
      <c r="I18" s="10"/>
    </row>
    <row r="19" spans="1:9" x14ac:dyDescent="0.25">
      <c r="A19" s="67" t="s">
        <v>109</v>
      </c>
      <c r="B19" s="1">
        <v>1170</v>
      </c>
      <c r="C19" s="23" t="s">
        <v>0</v>
      </c>
      <c r="D19" s="3"/>
      <c r="E19" s="3"/>
      <c r="F19" s="76" t="s">
        <v>117</v>
      </c>
      <c r="G19" s="87">
        <v>2300</v>
      </c>
      <c r="H19" s="20" t="s">
        <v>5</v>
      </c>
      <c r="I19" s="10"/>
    </row>
    <row r="20" spans="1:9" x14ac:dyDescent="0.25">
      <c r="A20" s="71" t="s">
        <v>110</v>
      </c>
      <c r="B20" s="1">
        <v>1080</v>
      </c>
      <c r="C20" s="23" t="s">
        <v>0</v>
      </c>
      <c r="D20" s="3"/>
      <c r="E20" s="3"/>
      <c r="F20" s="78" t="s">
        <v>124</v>
      </c>
      <c r="G20" s="88">
        <v>850</v>
      </c>
      <c r="H20" s="20" t="s">
        <v>5</v>
      </c>
      <c r="I20" s="10"/>
    </row>
    <row r="21" spans="1:9" x14ac:dyDescent="0.25">
      <c r="A21" s="72" t="s">
        <v>102</v>
      </c>
      <c r="B21" s="1">
        <v>900</v>
      </c>
      <c r="C21" s="23" t="s">
        <v>0</v>
      </c>
      <c r="D21" s="58"/>
      <c r="E21" s="3"/>
      <c r="F21" s="76" t="s">
        <v>120</v>
      </c>
      <c r="G21" s="82">
        <v>1537.5</v>
      </c>
      <c r="H21" s="20" t="s">
        <v>5</v>
      </c>
      <c r="I21" s="10"/>
    </row>
    <row r="22" spans="1:9" x14ac:dyDescent="0.25">
      <c r="A22" s="69" t="s">
        <v>111</v>
      </c>
      <c r="B22" s="1">
        <v>250</v>
      </c>
      <c r="C22" s="23" t="s">
        <v>0</v>
      </c>
      <c r="D22" s="58"/>
      <c r="E22" s="3"/>
      <c r="F22" s="76" t="s">
        <v>6</v>
      </c>
      <c r="G22" s="82">
        <v>1850</v>
      </c>
      <c r="H22" s="21" t="s">
        <v>5</v>
      </c>
      <c r="I22" s="10"/>
    </row>
    <row r="23" spans="1:9" x14ac:dyDescent="0.25">
      <c r="A23" s="69" t="s">
        <v>112</v>
      </c>
      <c r="B23" s="1">
        <v>1863</v>
      </c>
      <c r="C23" s="23" t="s">
        <v>0</v>
      </c>
      <c r="D23" s="58"/>
      <c r="E23" s="3"/>
      <c r="F23" s="78" t="s">
        <v>6</v>
      </c>
      <c r="G23" s="82">
        <v>2200</v>
      </c>
      <c r="H23" s="20" t="s">
        <v>5</v>
      </c>
      <c r="I23" s="10"/>
    </row>
    <row r="24" spans="1:9" x14ac:dyDescent="0.25">
      <c r="A24" s="73" t="s">
        <v>102</v>
      </c>
      <c r="B24" s="64">
        <v>900</v>
      </c>
      <c r="C24" s="23" t="s">
        <v>0</v>
      </c>
      <c r="D24" s="3"/>
      <c r="E24" s="3"/>
      <c r="F24" s="78" t="s">
        <v>6</v>
      </c>
      <c r="G24" s="82">
        <v>1584</v>
      </c>
      <c r="H24" s="20" t="s">
        <v>5</v>
      </c>
      <c r="I24" s="10"/>
    </row>
    <row r="25" spans="1:9" x14ac:dyDescent="0.25">
      <c r="A25" s="69" t="s">
        <v>113</v>
      </c>
      <c r="B25" s="74">
        <v>2340</v>
      </c>
      <c r="C25" s="23" t="s">
        <v>0</v>
      </c>
      <c r="D25" s="3"/>
      <c r="E25" s="3"/>
      <c r="F25" s="79" t="s">
        <v>126</v>
      </c>
      <c r="G25" s="85">
        <v>5400</v>
      </c>
      <c r="H25" s="20" t="s">
        <v>5</v>
      </c>
      <c r="I25" s="10"/>
    </row>
    <row r="26" spans="1:9" x14ac:dyDescent="0.25">
      <c r="A26" s="69" t="s">
        <v>114</v>
      </c>
      <c r="B26" s="64">
        <v>410</v>
      </c>
      <c r="C26" s="23" t="s">
        <v>0</v>
      </c>
      <c r="D26" s="3"/>
      <c r="E26" s="3"/>
      <c r="F26" s="79" t="s">
        <v>125</v>
      </c>
      <c r="G26" s="85">
        <v>1500</v>
      </c>
      <c r="H26" s="20" t="s">
        <v>5</v>
      </c>
      <c r="I26" s="10"/>
    </row>
    <row r="27" spans="1:9" x14ac:dyDescent="0.25">
      <c r="A27" s="69" t="s">
        <v>114</v>
      </c>
      <c r="B27" s="1">
        <v>1290</v>
      </c>
      <c r="C27" s="23" t="s">
        <v>0</v>
      </c>
      <c r="D27" s="3"/>
      <c r="E27" s="3"/>
      <c r="F27" s="80" t="s">
        <v>126</v>
      </c>
      <c r="G27" s="82">
        <v>2025</v>
      </c>
    </row>
    <row r="28" spans="1:9" x14ac:dyDescent="0.25">
      <c r="A28" s="75"/>
      <c r="B28" s="1">
        <v>100</v>
      </c>
      <c r="C28" s="23" t="s">
        <v>0</v>
      </c>
      <c r="D28" s="3"/>
      <c r="E28" s="3"/>
      <c r="F28" s="89"/>
      <c r="G28" s="82"/>
    </row>
    <row r="29" spans="1:9" x14ac:dyDescent="0.25">
      <c r="A29" s="75" t="s">
        <v>102</v>
      </c>
      <c r="B29" s="1">
        <v>900</v>
      </c>
      <c r="C29" s="23" t="s">
        <v>0</v>
      </c>
      <c r="D29" s="3"/>
      <c r="E29" s="3"/>
      <c r="F29" s="79" t="s">
        <v>6</v>
      </c>
      <c r="G29" s="82">
        <v>3495</v>
      </c>
    </row>
    <row r="30" spans="1:9" x14ac:dyDescent="0.25">
      <c r="A30" s="69" t="s">
        <v>102</v>
      </c>
      <c r="B30" s="1">
        <v>900</v>
      </c>
      <c r="C30" s="23" t="s">
        <v>0</v>
      </c>
      <c r="D30" s="3"/>
      <c r="E30" s="3"/>
      <c r="F30" s="79" t="s">
        <v>6</v>
      </c>
      <c r="G30" s="85">
        <v>2500</v>
      </c>
    </row>
    <row r="31" spans="1:9" x14ac:dyDescent="0.25">
      <c r="A31" s="69" t="s">
        <v>115</v>
      </c>
      <c r="B31" s="1">
        <v>457.02</v>
      </c>
      <c r="C31" s="23" t="s">
        <v>0</v>
      </c>
      <c r="D31" s="3"/>
      <c r="E31" s="3"/>
      <c r="F31" s="80" t="s">
        <v>126</v>
      </c>
      <c r="G31" s="77">
        <v>2025</v>
      </c>
    </row>
    <row r="32" spans="1:9" x14ac:dyDescent="0.25">
      <c r="A32" s="69" t="s">
        <v>127</v>
      </c>
      <c r="B32" s="1">
        <v>975.21</v>
      </c>
      <c r="C32" s="23" t="s">
        <v>0</v>
      </c>
      <c r="D32" s="3"/>
      <c r="E32" s="3"/>
      <c r="F32" s="81"/>
      <c r="G32" s="77"/>
    </row>
    <row r="33" spans="1:7" x14ac:dyDescent="0.25">
      <c r="A33" s="69" t="s">
        <v>127</v>
      </c>
      <c r="B33" s="1">
        <v>900.83</v>
      </c>
      <c r="C33" s="23" t="s">
        <v>0</v>
      </c>
      <c r="D33" s="3"/>
      <c r="E33" s="3"/>
      <c r="F33" s="8"/>
      <c r="G33" s="52"/>
    </row>
    <row r="34" spans="1:7" x14ac:dyDescent="0.25">
      <c r="A34" s="69" t="s">
        <v>102</v>
      </c>
      <c r="B34" s="1">
        <v>900</v>
      </c>
      <c r="C34" s="23" t="s">
        <v>0</v>
      </c>
      <c r="D34" s="3"/>
      <c r="E34" s="3"/>
      <c r="F34" s="8"/>
      <c r="G34" s="52"/>
    </row>
    <row r="35" spans="1:7" x14ac:dyDescent="0.25">
      <c r="A35" s="90"/>
      <c r="B35" s="1"/>
      <c r="C35" s="23" t="s">
        <v>0</v>
      </c>
      <c r="D35" s="3"/>
      <c r="E35" s="3"/>
      <c r="F35" s="8"/>
      <c r="G35" s="52"/>
    </row>
    <row r="36" spans="1:7" x14ac:dyDescent="0.25">
      <c r="A36" s="69" t="s">
        <v>102</v>
      </c>
      <c r="B36" s="1">
        <v>900</v>
      </c>
      <c r="C36" s="23" t="s">
        <v>0</v>
      </c>
      <c r="D36" s="3"/>
      <c r="E36" s="3"/>
      <c r="F36" s="8"/>
      <c r="G36" s="52"/>
    </row>
    <row r="37" spans="1:7" x14ac:dyDescent="0.25">
      <c r="A37" s="69" t="s">
        <v>128</v>
      </c>
      <c r="B37" s="1">
        <v>3000</v>
      </c>
      <c r="C37" s="23" t="s">
        <v>0</v>
      </c>
      <c r="D37" s="3"/>
      <c r="E37" s="3"/>
      <c r="F37" s="8"/>
      <c r="G37" s="52"/>
    </row>
    <row r="38" spans="1:7" x14ac:dyDescent="0.25">
      <c r="A38" s="67" t="s">
        <v>129</v>
      </c>
      <c r="B38" s="1">
        <v>100</v>
      </c>
      <c r="C38" s="23" t="s">
        <v>0</v>
      </c>
      <c r="D38" s="3"/>
      <c r="E38" s="3"/>
      <c r="F38" s="8"/>
      <c r="G38" s="52"/>
    </row>
    <row r="39" spans="1:7" x14ac:dyDescent="0.25">
      <c r="A39" s="67" t="s">
        <v>114</v>
      </c>
      <c r="B39" s="1">
        <v>550</v>
      </c>
      <c r="C39" s="23" t="s">
        <v>0</v>
      </c>
      <c r="D39" s="3"/>
      <c r="E39" s="3"/>
      <c r="F39" s="8"/>
      <c r="G39" s="52"/>
    </row>
    <row r="40" spans="1:7" x14ac:dyDescent="0.25">
      <c r="A40" s="67" t="s">
        <v>102</v>
      </c>
      <c r="B40" s="1">
        <v>900</v>
      </c>
      <c r="C40" s="23" t="s">
        <v>0</v>
      </c>
      <c r="D40" s="3"/>
      <c r="F40" s="8"/>
      <c r="G40" s="52"/>
    </row>
    <row r="41" spans="1:7" x14ac:dyDescent="0.25">
      <c r="A41" s="67" t="s">
        <v>130</v>
      </c>
      <c r="B41" s="1">
        <v>1650</v>
      </c>
      <c r="F41" s="8"/>
      <c r="G41" s="52"/>
    </row>
    <row r="42" spans="1:7" x14ac:dyDescent="0.25">
      <c r="A42" s="90" t="s">
        <v>116</v>
      </c>
      <c r="B42" s="91">
        <v>1650</v>
      </c>
      <c r="F42" s="8"/>
      <c r="G42" s="52"/>
    </row>
    <row r="43" spans="1:7" x14ac:dyDescent="0.25">
      <c r="A43" s="90"/>
      <c r="B43" s="92"/>
      <c r="F43" s="8"/>
      <c r="G43" s="52"/>
    </row>
    <row r="44" spans="1:7" x14ac:dyDescent="0.25">
      <c r="A44" s="67"/>
      <c r="B44" s="1"/>
      <c r="F44" s="8"/>
      <c r="G44" s="52"/>
    </row>
    <row r="45" spans="1:7" x14ac:dyDescent="0.25">
      <c r="F45" s="8"/>
      <c r="G45" s="52"/>
    </row>
    <row r="46" spans="1:7" x14ac:dyDescent="0.25">
      <c r="F46" s="8"/>
      <c r="G46" s="52"/>
    </row>
    <row r="47" spans="1:7" x14ac:dyDescent="0.25">
      <c r="F47" s="8"/>
      <c r="G47" s="52"/>
    </row>
    <row r="48" spans="1:7" x14ac:dyDescent="0.25">
      <c r="F48" s="8"/>
      <c r="G48" s="52"/>
    </row>
    <row r="49" spans="6:7" x14ac:dyDescent="0.25">
      <c r="F49" s="8"/>
      <c r="G49" s="52"/>
    </row>
    <row r="50" spans="6:7" x14ac:dyDescent="0.25">
      <c r="F50" s="8"/>
      <c r="G50" s="52"/>
    </row>
    <row r="51" spans="6:7" x14ac:dyDescent="0.25">
      <c r="F51" s="8"/>
      <c r="G51" s="52"/>
    </row>
    <row r="52" spans="6:7" x14ac:dyDescent="0.25">
      <c r="F52" s="8"/>
      <c r="G52" s="52"/>
    </row>
  </sheetData>
  <sheetProtection sheet="1" objects="1" scenarios="1"/>
  <conditionalFormatting sqref="Q5:Q15">
    <cfRule type="cellIs" dxfId="0" priority="1" operator="lessThan">
      <formula>1</formula>
    </cfRule>
  </conditionalFormatting>
  <dataValidations count="4">
    <dataValidation type="list" allowBlank="1" showInputMessage="1" showErrorMessage="1" sqref="E5:E35 D5:D20 D24:D35">
      <formula1>#REF!</formula1>
    </dataValidation>
    <dataValidation type="list" errorStyle="information" sqref="F5:F32 A5:A10 A12:A44">
      <formula1>clientes</formula1>
    </dataValidation>
    <dataValidation type="custom" errorStyle="warning" showInputMessage="1" showErrorMessage="1" error="No olvides introducir una fecha en la primera columna._x000a_Esta &quot;fecha de registro&quot; es la que se usa para determinar la asignación a los distintos trimestres." sqref="G14:G19 G21:G32 G5:G9 B5:B23 B27:B44">
      <formula1>NOT(ISBLANK(XFA5))</formula1>
    </dataValidation>
    <dataValidation type="custom" errorStyle="warning" showInputMessage="1" showErrorMessage="1" error="No olvides introducir una fecha en la primera columna._x000a_Esta &quot;fecha de registro&quot; es la que se usa para determinar la asignación a los distintos trimestres." sqref="A11">
      <formula1>NOT(ISBLANK(XFB11))</formula1>
    </dataValidation>
  </dataValidations>
  <pageMargins left="0.7" right="0.7" top="0.75" bottom="0.75" header="0.3" footer="0.3"/>
  <pageSetup paperSize="9" fitToWidth="0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A12" sqref="A12"/>
    </sheetView>
  </sheetViews>
  <sheetFormatPr baseColWidth="10" defaultRowHeight="15" x14ac:dyDescent="0.25"/>
  <cols>
    <col min="1" max="6" width="11.42578125" style="11"/>
    <col min="7" max="7" width="7.85546875" style="11" customWidth="1"/>
    <col min="8" max="11" width="5.7109375" customWidth="1"/>
    <col min="12" max="12" width="7" style="11" customWidth="1"/>
    <col min="14" max="14" width="27.28515625" customWidth="1"/>
  </cols>
  <sheetData>
    <row r="1" spans="1:12" x14ac:dyDescent="0.25">
      <c r="A1" s="26" t="s">
        <v>88</v>
      </c>
    </row>
    <row r="2" spans="1:12" x14ac:dyDescent="0.25">
      <c r="H2" s="45" t="s">
        <v>89</v>
      </c>
    </row>
    <row r="3" spans="1:12" x14ac:dyDescent="0.25">
      <c r="B3" s="40" t="s">
        <v>83</v>
      </c>
      <c r="C3" s="40" t="s">
        <v>84</v>
      </c>
      <c r="D3" s="40" t="s">
        <v>85</v>
      </c>
      <c r="E3" s="40" t="s">
        <v>86</v>
      </c>
      <c r="F3" s="42" t="s">
        <v>87</v>
      </c>
      <c r="H3" s="40" t="s">
        <v>83</v>
      </c>
      <c r="I3" s="40" t="s">
        <v>84</v>
      </c>
      <c r="J3" s="40" t="s">
        <v>85</v>
      </c>
      <c r="K3" s="40" t="s">
        <v>86</v>
      </c>
    </row>
    <row r="4" spans="1:12" ht="24.95" customHeight="1" x14ac:dyDescent="0.25">
      <c r="A4" s="43">
        <v>2006</v>
      </c>
      <c r="B4" s="47">
        <v>46054.29</v>
      </c>
      <c r="C4" s="47">
        <v>51161.59</v>
      </c>
      <c r="D4" s="47">
        <v>87295.99</v>
      </c>
      <c r="E4" s="47">
        <v>3024.8</v>
      </c>
      <c r="F4" s="47">
        <f t="shared" ref="F4" si="0">SUM(B4:E4)</f>
        <v>187536.66999999998</v>
      </c>
      <c r="H4" s="46">
        <f>B4/$F4</f>
        <v>0.2455748521075905</v>
      </c>
      <c r="I4" s="46">
        <f t="shared" ref="I4" si="1">C4/$F4</f>
        <v>0.27280845927359165</v>
      </c>
      <c r="J4" s="46">
        <f t="shared" ref="J4" si="2">D4/$F4</f>
        <v>0.46548757637639621</v>
      </c>
      <c r="K4" s="46">
        <f t="shared" ref="K4" si="3">E4/$F4</f>
        <v>1.6129112242421712E-2</v>
      </c>
      <c r="L4" s="17"/>
    </row>
    <row r="5" spans="1:12" ht="24.95" customHeight="1" x14ac:dyDescent="0.25">
      <c r="A5" s="43">
        <v>2007</v>
      </c>
      <c r="B5" s="41">
        <v>6170.0199999999995</v>
      </c>
      <c r="C5" s="41">
        <v>7185.8</v>
      </c>
      <c r="D5" s="41">
        <v>9261.7000000000007</v>
      </c>
      <c r="E5" s="41">
        <v>4672.5</v>
      </c>
      <c r="F5" s="41">
        <f t="shared" ref="F5:F6" si="4">SUM(B5:E5)</f>
        <v>27290.02</v>
      </c>
      <c r="H5" s="13">
        <f>B5/$F5</f>
        <v>0.22609071008375953</v>
      </c>
      <c r="I5" s="13">
        <f t="shared" ref="I5:I12" si="5">C5/$F5</f>
        <v>0.26331237573296024</v>
      </c>
      <c r="J5" s="13">
        <f t="shared" ref="J5:J12" si="6">D5/$F5</f>
        <v>0.3393804768189983</v>
      </c>
      <c r="K5" s="13">
        <f t="shared" ref="K5:K12" si="7">E5/$F5</f>
        <v>0.17121643736428188</v>
      </c>
      <c r="L5" s="17"/>
    </row>
    <row r="6" spans="1:12" ht="24.95" customHeight="1" x14ac:dyDescent="0.25">
      <c r="A6" s="43">
        <v>2008</v>
      </c>
      <c r="B6" s="41">
        <v>3030</v>
      </c>
      <c r="C6" s="41">
        <v>5275</v>
      </c>
      <c r="D6" s="41">
        <v>33108.800000000003</v>
      </c>
      <c r="E6" s="41">
        <v>27821.54</v>
      </c>
      <c r="F6" s="41">
        <f t="shared" si="4"/>
        <v>69235.34</v>
      </c>
      <c r="H6" s="13">
        <f t="shared" ref="H6:H12" si="8">B6/$F6</f>
        <v>4.3763777284837484E-2</v>
      </c>
      <c r="I6" s="13">
        <f t="shared" si="5"/>
        <v>7.618941425000586E-2</v>
      </c>
      <c r="J6" s="13">
        <f t="shared" si="6"/>
        <v>0.47820664995651069</v>
      </c>
      <c r="K6" s="13">
        <f t="shared" si="7"/>
        <v>0.40184015850864607</v>
      </c>
      <c r="L6" s="17"/>
    </row>
    <row r="7" spans="1:12" ht="24.95" customHeight="1" x14ac:dyDescent="0.25">
      <c r="A7" s="43">
        <v>2009</v>
      </c>
      <c r="B7" s="41">
        <v>3813.5</v>
      </c>
      <c r="C7" s="41">
        <v>10353.970000000001</v>
      </c>
      <c r="D7" s="41">
        <v>375</v>
      </c>
      <c r="E7" s="41">
        <v>14798</v>
      </c>
      <c r="F7" s="41">
        <f t="shared" ref="F7:F10" si="9">SUM(B7:E7)</f>
        <v>29340.47</v>
      </c>
      <c r="H7" s="13">
        <f t="shared" si="8"/>
        <v>0.12997405972024306</v>
      </c>
      <c r="I7" s="13">
        <f t="shared" si="5"/>
        <v>0.35289039337134004</v>
      </c>
      <c r="J7" s="13">
        <f t="shared" si="6"/>
        <v>1.2780981354422747E-2</v>
      </c>
      <c r="K7" s="13">
        <f t="shared" si="7"/>
        <v>0.50435456555399416</v>
      </c>
      <c r="L7" s="17"/>
    </row>
    <row r="8" spans="1:12" ht="24.95" customHeight="1" x14ac:dyDescent="0.25">
      <c r="A8" s="43">
        <v>2010</v>
      </c>
      <c r="B8" s="41">
        <v>8975.0499999999993</v>
      </c>
      <c r="C8" s="41">
        <v>6250.25</v>
      </c>
      <c r="D8" s="41">
        <v>7247.3</v>
      </c>
      <c r="E8" s="41">
        <v>11160.35</v>
      </c>
      <c r="F8" s="41">
        <f t="shared" si="9"/>
        <v>33632.949999999997</v>
      </c>
      <c r="H8" s="13">
        <f t="shared" si="8"/>
        <v>0.26685289277330715</v>
      </c>
      <c r="I8" s="13">
        <f t="shared" si="5"/>
        <v>0.18583710319790564</v>
      </c>
      <c r="J8" s="13">
        <f t="shared" si="6"/>
        <v>0.21548213879543723</v>
      </c>
      <c r="K8" s="13">
        <f t="shared" si="7"/>
        <v>0.33182786523335006</v>
      </c>
      <c r="L8" s="17"/>
    </row>
    <row r="9" spans="1:12" ht="24.95" customHeight="1" x14ac:dyDescent="0.25">
      <c r="A9" s="43">
        <v>2011</v>
      </c>
      <c r="B9" s="41">
        <v>3639</v>
      </c>
      <c r="C9" s="41">
        <v>3120.5</v>
      </c>
      <c r="D9" s="41">
        <v>3988.14</v>
      </c>
      <c r="E9" s="41">
        <v>8847.5</v>
      </c>
      <c r="F9" s="41">
        <f t="shared" si="9"/>
        <v>19595.14</v>
      </c>
      <c r="H9" s="13">
        <f t="shared" si="8"/>
        <v>0.18570931363593218</v>
      </c>
      <c r="I9" s="13">
        <f t="shared" si="5"/>
        <v>0.15924867084389294</v>
      </c>
      <c r="J9" s="13">
        <f t="shared" si="6"/>
        <v>0.2035269970002766</v>
      </c>
      <c r="K9" s="13">
        <f t="shared" si="7"/>
        <v>0.45151501851989834</v>
      </c>
      <c r="L9" s="17"/>
    </row>
    <row r="10" spans="1:12" ht="24.95" customHeight="1" x14ac:dyDescent="0.25">
      <c r="A10" s="43">
        <v>2012</v>
      </c>
      <c r="B10" s="41">
        <v>3377.88</v>
      </c>
      <c r="C10" s="41">
        <v>6023</v>
      </c>
      <c r="D10" s="41">
        <v>6504.55</v>
      </c>
      <c r="E10" s="41">
        <v>9979.67</v>
      </c>
      <c r="F10" s="41">
        <f t="shared" si="9"/>
        <v>25885.1</v>
      </c>
      <c r="H10" s="13">
        <f t="shared" si="8"/>
        <v>0.13049514971933662</v>
      </c>
      <c r="I10" s="13">
        <f t="shared" si="5"/>
        <v>0.23268212214749026</v>
      </c>
      <c r="J10" s="13">
        <f t="shared" si="6"/>
        <v>0.25128548856291844</v>
      </c>
      <c r="K10" s="13">
        <f t="shared" si="7"/>
        <v>0.38553723957025471</v>
      </c>
      <c r="L10" s="17"/>
    </row>
    <row r="11" spans="1:12" ht="24.95" customHeight="1" x14ac:dyDescent="0.25">
      <c r="A11" s="43">
        <v>2013</v>
      </c>
      <c r="B11" s="41">
        <v>7718.09</v>
      </c>
      <c r="C11" s="41">
        <v>7976.8600000000006</v>
      </c>
      <c r="D11" s="41">
        <v>3566.4800000000005</v>
      </c>
      <c r="E11" s="41">
        <v>9497.4599999999991</v>
      </c>
      <c r="F11" s="41">
        <f>SUM(B11:E11)</f>
        <v>28758.89</v>
      </c>
      <c r="H11" s="13">
        <f t="shared" si="8"/>
        <v>0.26837231895945918</v>
      </c>
      <c r="I11" s="13">
        <f t="shared" si="5"/>
        <v>0.27737023230034263</v>
      </c>
      <c r="J11" s="13">
        <f t="shared" si="6"/>
        <v>0.12401313124393885</v>
      </c>
      <c r="K11" s="13">
        <f t="shared" si="7"/>
        <v>0.33024431749625938</v>
      </c>
      <c r="L11" s="17"/>
    </row>
    <row r="12" spans="1:12" ht="24.95" customHeight="1" x14ac:dyDescent="0.25">
      <c r="A12" s="48" t="s">
        <v>90</v>
      </c>
      <c r="B12" s="41">
        <v>7203.1900000000005</v>
      </c>
      <c r="C12" s="41">
        <v>2943.38</v>
      </c>
      <c r="D12" s="41">
        <v>3370</v>
      </c>
      <c r="E12" s="41">
        <v>10831.8</v>
      </c>
      <c r="F12" s="41">
        <f>SUM(B12:E12)</f>
        <v>24348.37</v>
      </c>
      <c r="H12" s="13">
        <f t="shared" si="8"/>
        <v>0.29583869474630131</v>
      </c>
      <c r="I12" s="13">
        <f t="shared" si="5"/>
        <v>0.12088612091897734</v>
      </c>
      <c r="J12" s="13">
        <f t="shared" si="6"/>
        <v>0.1384076223582934</v>
      </c>
      <c r="K12" s="13">
        <f t="shared" si="7"/>
        <v>0.44486756197642796</v>
      </c>
      <c r="L12" s="17"/>
    </row>
    <row r="13" spans="1:12" ht="24.95" customHeight="1" x14ac:dyDescent="0.25">
      <c r="A13" s="48" t="s">
        <v>91</v>
      </c>
      <c r="B13" s="41">
        <f>+'[5]2015'!$B$10</f>
        <v>6920</v>
      </c>
      <c r="C13" s="41">
        <f>+'[5]2015'!$E$10</f>
        <v>10195</v>
      </c>
      <c r="D13" s="41">
        <f>+'[5]2015'!$H$10</f>
        <v>3350</v>
      </c>
      <c r="E13" s="60">
        <f>+'[5]2015'!$K$10</f>
        <v>10849.21</v>
      </c>
      <c r="F13" s="41">
        <f>SUM(B13:E13)</f>
        <v>31314.21</v>
      </c>
      <c r="H13" s="13">
        <f t="shared" ref="H13:H14" si="10">B13/$F13</f>
        <v>0.22098593577803816</v>
      </c>
      <c r="I13" s="13">
        <f t="shared" ref="I13:I14" si="11">C13/$F13</f>
        <v>0.32557104266721082</v>
      </c>
      <c r="J13" s="13">
        <f t="shared" ref="J13:J14" si="12">D13/$F13</f>
        <v>0.10698018567289419</v>
      </c>
      <c r="K13" s="13">
        <f t="shared" ref="K13:K14" si="13">E13/$F13</f>
        <v>0.34646283588185683</v>
      </c>
      <c r="L13" s="17"/>
    </row>
    <row r="14" spans="1:12" ht="24.95" customHeight="1" x14ac:dyDescent="0.25">
      <c r="A14" s="59">
        <v>2016</v>
      </c>
      <c r="B14" s="41">
        <f>+'[5]2016'!$B$10</f>
        <v>3305.79</v>
      </c>
      <c r="C14" s="41">
        <f>+'[5]2016'!$E$10</f>
        <v>6376.98</v>
      </c>
      <c r="D14" s="41">
        <f>+'[5]2016'!$H$10</f>
        <v>3981.3599999999997</v>
      </c>
      <c r="E14" s="60">
        <f>+'[5]2016'!$K$10</f>
        <v>2700</v>
      </c>
      <c r="F14" s="41">
        <f>SUM(B14:E14)</f>
        <v>16364.130000000001</v>
      </c>
      <c r="H14" s="13">
        <f t="shared" si="10"/>
        <v>0.20201440589875538</v>
      </c>
      <c r="I14" s="13">
        <f t="shared" si="11"/>
        <v>0.38969257760724213</v>
      </c>
      <c r="J14" s="13">
        <f t="shared" si="12"/>
        <v>0.24329799384385234</v>
      </c>
      <c r="K14" s="13">
        <f t="shared" si="13"/>
        <v>0.16499502265015004</v>
      </c>
      <c r="L14" s="17"/>
    </row>
    <row r="15" spans="1:12" ht="24.95" customHeight="1" x14ac:dyDescent="0.25">
      <c r="A15" s="59">
        <v>2017</v>
      </c>
      <c r="B15" s="41">
        <f>+'[5]2017'!$B$10</f>
        <v>7260</v>
      </c>
      <c r="C15" s="41">
        <f>+'[5]2017'!$E$10</f>
        <v>12109.78</v>
      </c>
      <c r="D15" s="41">
        <f>+'[5]2017'!$H$10</f>
        <v>7297.02</v>
      </c>
      <c r="E15" s="60">
        <f>+'[5]2017'!$K$10</f>
        <v>11526.04</v>
      </c>
      <c r="F15" s="41">
        <f>SUM(B15:E15)</f>
        <v>38192.839999999997</v>
      </c>
      <c r="H15" s="13">
        <f t="shared" ref="H15" si="14">B15/$F15</f>
        <v>0.19008798507783137</v>
      </c>
      <c r="I15" s="13">
        <f t="shared" ref="I15" si="15">C15/$F15</f>
        <v>0.31706937740162822</v>
      </c>
      <c r="J15" s="13">
        <f t="shared" ref="J15" si="16">D15/$F15</f>
        <v>0.19105727670421999</v>
      </c>
      <c r="K15" s="13">
        <f t="shared" ref="K15" si="17">E15/$F15</f>
        <v>0.30178536081632057</v>
      </c>
      <c r="L15" s="17"/>
    </row>
    <row r="16" spans="1:12" x14ac:dyDescent="0.25">
      <c r="A16" s="11" t="s">
        <v>92</v>
      </c>
    </row>
    <row r="17" spans="1:12" x14ac:dyDescent="0.25">
      <c r="A17" s="11" t="s">
        <v>101</v>
      </c>
    </row>
    <row r="20" spans="1:12" ht="23.25" x14ac:dyDescent="0.25">
      <c r="A20" s="44" t="s">
        <v>132</v>
      </c>
      <c r="B20" s="16">
        <f>AVERAGE(B5:B15)</f>
        <v>5582.9563636363637</v>
      </c>
      <c r="C20" s="16">
        <f>AVERAGE(C5:C15)</f>
        <v>7073.6836363636367</v>
      </c>
      <c r="D20" s="16">
        <f>AVERAGE(D5:D15)</f>
        <v>7459.1227272727274</v>
      </c>
      <c r="E20" s="16">
        <f>AVERAGE(E5:E15)</f>
        <v>11153.097272727273</v>
      </c>
      <c r="F20" s="16">
        <f>AVERAGE(F5:F15)</f>
        <v>31268.859999999997</v>
      </c>
      <c r="H20" s="13">
        <f>AVERAGE(H5:H15)</f>
        <v>0.19638047669798198</v>
      </c>
      <c r="I20" s="13">
        <f>AVERAGE(I5:I15)</f>
        <v>0.2455226754944542</v>
      </c>
      <c r="J20" s="13">
        <f>AVERAGE(J5:J15)</f>
        <v>0.20949263111925118</v>
      </c>
      <c r="K20" s="13">
        <f>AVERAGE(K5:K15)</f>
        <v>0.34860421668831276</v>
      </c>
      <c r="L20" s="17"/>
    </row>
  </sheetData>
  <sheetProtection sheet="1" objects="1" scenarios="1"/>
  <pageMargins left="0.7" right="0.7" top="0.75" bottom="0.75" header="0.3" footer="0.3"/>
  <pageSetup paperSize="9" orientation="landscape" horizontalDpi="0" verticalDpi="0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'HISTORICO CPS'!G4:G14</xm:f>
              <xm:sqref>O8</xm:sqref>
            </x14:sparkline>
          </x14:sparklines>
        </x14:sparklineGroup>
        <x14:sparklineGroup type="column" displayEmptyCellsAs="gap" high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'HISTORICO CPS'!H4:K4</xm:f>
              <xm:sqref>L4</xm:sqref>
            </x14:sparkline>
          </x14:sparklines>
        </x14:sparklineGroup>
        <x14:sparklineGroup type="column" displayEmptyCellsAs="gap" high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'HISTORICO CPS'!H5:K5</xm:f>
              <xm:sqref>L5</xm:sqref>
            </x14:sparkline>
            <x14:sparkline>
              <xm:f>'HISTORICO CPS'!H6:K6</xm:f>
              <xm:sqref>L6</xm:sqref>
            </x14:sparkline>
            <x14:sparkline>
              <xm:f>'HISTORICO CPS'!H7:K7</xm:f>
              <xm:sqref>L7</xm:sqref>
            </x14:sparkline>
            <x14:sparkline>
              <xm:f>'HISTORICO CPS'!H8:K8</xm:f>
              <xm:sqref>L8</xm:sqref>
            </x14:sparkline>
            <x14:sparkline>
              <xm:f>'HISTORICO CPS'!H9:K9</xm:f>
              <xm:sqref>L9</xm:sqref>
            </x14:sparkline>
            <x14:sparkline>
              <xm:f>'HISTORICO CPS'!H10:K10</xm:f>
              <xm:sqref>L10</xm:sqref>
            </x14:sparkline>
            <x14:sparkline>
              <xm:f>'HISTORICO CPS'!H11:K11</xm:f>
              <xm:sqref>L11</xm:sqref>
            </x14:sparkline>
            <x14:sparkline>
              <xm:f>'HISTORICO CPS'!H12:K12</xm:f>
              <xm:sqref>L12</xm:sqref>
            </x14:sparkline>
            <x14:sparkline>
              <xm:f>'HISTORICO CPS'!H13:K13</xm:f>
              <xm:sqref>L13</xm:sqref>
            </x14:sparkline>
            <x14:sparkline>
              <xm:f>'HISTORICO CPS'!H14:K14</xm:f>
              <xm:sqref>L14</xm:sqref>
            </x14:sparkline>
          </x14:sparklines>
        </x14:sparklineGroup>
        <x14:sparklineGroup type="column" displayEmptyCellsAs="gap" high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'HISTORICO CPS'!H20:K20</xm:f>
              <xm:sqref>L20</xm:sqref>
            </x14:sparkline>
          </x14:sparklines>
        </x14:sparklineGroup>
        <x14:sparklineGroup displayEmptyCellsAs="gap" high="1" low="1" minAxisType="group" maxAxisType="grou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'HISTORICO CPS'!E4:E13</xm:f>
              <xm:sqref>E18</xm:sqref>
            </x14:sparkline>
            <x14:sparkline>
              <xm:f>'HISTORICO CPS'!D4:D13</xm:f>
              <xm:sqref>D18</xm:sqref>
            </x14:sparkline>
            <x14:sparkline>
              <xm:f>'HISTORICO CPS'!C4:C13</xm:f>
              <xm:sqref>C18</xm:sqref>
            </x14:sparkline>
            <x14:sparkline>
              <xm:f>'HISTORICO CPS'!B4:B13</xm:f>
              <xm:sqref>B18</xm:sqref>
            </x14:sparkline>
          </x14:sparklines>
        </x14:sparklineGroup>
        <x14:sparklineGroup displayEmptyCellsAs="gap" high="1" low="1" minAxisType="group" maxAxisType="grou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'HISTORICO CPS'!F4:F13</xm:f>
              <xm:sqref>F18</xm:sqref>
            </x14:sparkline>
          </x14:sparklines>
        </x14:sparklineGroup>
        <x14:sparklineGroup type="column" displayEmptyCellsAs="gap" high="1" minAxisType="group" maxAxisType="grou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'HISTORICO CPS'!B5:E5</xm:f>
              <xm:sqref>G5</xm:sqref>
            </x14:sparkline>
            <x14:sparkline>
              <xm:f>'HISTORICO CPS'!B6:E6</xm:f>
              <xm:sqref>G6</xm:sqref>
            </x14:sparkline>
            <x14:sparkline>
              <xm:f>'HISTORICO CPS'!B7:E7</xm:f>
              <xm:sqref>G7</xm:sqref>
            </x14:sparkline>
            <x14:sparkline>
              <xm:f>'HISTORICO CPS'!B8:E8</xm:f>
              <xm:sqref>G8</xm:sqref>
            </x14:sparkline>
            <x14:sparkline>
              <xm:f>'HISTORICO CPS'!B9:E9</xm:f>
              <xm:sqref>G9</xm:sqref>
            </x14:sparkline>
            <x14:sparkline>
              <xm:f>'HISTORICO CPS'!B10:E10</xm:f>
              <xm:sqref>G10</xm:sqref>
            </x14:sparkline>
            <x14:sparkline>
              <xm:f>'HISTORICO CPS'!B11:E11</xm:f>
              <xm:sqref>G11</xm:sqref>
            </x14:sparkline>
            <x14:sparkline>
              <xm:f>'HISTORICO CPS'!B12:E12</xm:f>
              <xm:sqref>G12</xm:sqref>
            </x14:sparkline>
            <x14:sparkline>
              <xm:f>'HISTORICO CPS'!B13:E13</xm:f>
              <xm:sqref>G13</xm:sqref>
            </x14:sparkline>
            <x14:sparkline>
              <xm:f>'HISTORICO CPS'!B14:E14</xm:f>
              <xm:sqref>G14</xm:sqref>
            </x14:sparkline>
            <x14:sparkline>
              <xm:f>'HISTORICO CPS'!B15:E15</xm:f>
              <xm:sqref>G15</xm:sqref>
            </x14:sparkline>
          </x14:sparklines>
        </x14:sparklineGroup>
        <x14:sparklineGroup type="column" displayEmptyCellsAs="gap" high="1" minAxisType="group" maxAxisType="grou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'HISTORICO CPS'!B4:E4</xm:f>
              <xm:sqref>G4</xm:sqref>
            </x14:sparkline>
          </x14:sparklines>
        </x14:sparklineGroup>
        <x14:sparklineGroup type="column" displayEmptyCellsAs="gap" high="1" minAxisType="group" maxAxisType="grou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'HISTORICO CPS'!B20:E20</xm:f>
              <xm:sqref>G20</xm:sqref>
            </x14:sparkline>
          </x14:sparklines>
        </x14:sparklineGroup>
        <x14:sparklineGroup type="column" displayEmptyCellsAs="gap" high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'HISTORICO CPS'!H15:K15</xm:f>
              <xm:sqref>L15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C9" sqref="C9"/>
    </sheetView>
  </sheetViews>
  <sheetFormatPr baseColWidth="10" defaultRowHeight="15" x14ac:dyDescent="0.25"/>
  <cols>
    <col min="1" max="6" width="11.42578125" style="11"/>
    <col min="7" max="7" width="7.85546875" style="11" customWidth="1"/>
    <col min="8" max="11" width="5.7109375" customWidth="1"/>
    <col min="12" max="12" width="7" style="11" customWidth="1"/>
    <col min="14" max="14" width="27.28515625" customWidth="1"/>
  </cols>
  <sheetData>
    <row r="1" spans="1:12" x14ac:dyDescent="0.25">
      <c r="A1" s="26" t="s">
        <v>144</v>
      </c>
    </row>
    <row r="2" spans="1:12" x14ac:dyDescent="0.25">
      <c r="H2" s="45" t="s">
        <v>89</v>
      </c>
    </row>
    <row r="3" spans="1:12" x14ac:dyDescent="0.25">
      <c r="B3" s="40" t="s">
        <v>83</v>
      </c>
      <c r="C3" s="40" t="s">
        <v>84</v>
      </c>
      <c r="D3" s="40" t="s">
        <v>85</v>
      </c>
      <c r="E3" s="40" t="s">
        <v>86</v>
      </c>
      <c r="F3" s="42" t="s">
        <v>87</v>
      </c>
      <c r="H3" s="40" t="s">
        <v>83</v>
      </c>
      <c r="I3" s="40" t="s">
        <v>84</v>
      </c>
      <c r="J3" s="40" t="s">
        <v>85</v>
      </c>
      <c r="K3" s="40" t="s">
        <v>86</v>
      </c>
    </row>
    <row r="4" spans="1:12" ht="24.95" customHeight="1" x14ac:dyDescent="0.25">
      <c r="A4" s="43">
        <v>2006</v>
      </c>
      <c r="B4" s="41">
        <v>0</v>
      </c>
      <c r="C4" s="41">
        <v>0</v>
      </c>
      <c r="D4" s="41">
        <v>0</v>
      </c>
      <c r="E4" s="41">
        <v>0</v>
      </c>
      <c r="F4" s="41">
        <v>0</v>
      </c>
      <c r="H4" s="46" t="e">
        <f>B4/$F4</f>
        <v>#DIV/0!</v>
      </c>
      <c r="I4" s="46" t="e">
        <f t="shared" ref="I4:K15" si="0">C4/$F4</f>
        <v>#DIV/0!</v>
      </c>
      <c r="J4" s="46" t="e">
        <f t="shared" si="0"/>
        <v>#DIV/0!</v>
      </c>
      <c r="K4" s="46" t="e">
        <f t="shared" si="0"/>
        <v>#DIV/0!</v>
      </c>
      <c r="L4" s="17"/>
    </row>
    <row r="5" spans="1:12" ht="24.95" customHeight="1" x14ac:dyDescent="0.25">
      <c r="A5" s="43">
        <v>2007</v>
      </c>
      <c r="B5" s="41">
        <v>0</v>
      </c>
      <c r="C5" s="41">
        <v>0</v>
      </c>
      <c r="D5" s="41">
        <v>0</v>
      </c>
      <c r="E5" s="41">
        <v>0</v>
      </c>
      <c r="F5" s="41">
        <v>0</v>
      </c>
      <c r="H5" s="13" t="e">
        <f>B5/$F5</f>
        <v>#DIV/0!</v>
      </c>
      <c r="I5" s="13" t="e">
        <f t="shared" si="0"/>
        <v>#DIV/0!</v>
      </c>
      <c r="J5" s="13" t="e">
        <f t="shared" si="0"/>
        <v>#DIV/0!</v>
      </c>
      <c r="K5" s="13" t="e">
        <f t="shared" si="0"/>
        <v>#DIV/0!</v>
      </c>
      <c r="L5" s="17"/>
    </row>
    <row r="6" spans="1:12" ht="24.95" customHeight="1" x14ac:dyDescent="0.25">
      <c r="A6" s="43">
        <v>2008</v>
      </c>
      <c r="B6" s="41">
        <v>0</v>
      </c>
      <c r="C6" s="41">
        <v>0</v>
      </c>
      <c r="D6" s="41">
        <v>0</v>
      </c>
      <c r="E6" s="41">
        <v>0</v>
      </c>
      <c r="F6" s="41">
        <v>0</v>
      </c>
      <c r="H6" s="13" t="e">
        <f t="shared" ref="H6:H15" si="1">B6/$F6</f>
        <v>#DIV/0!</v>
      </c>
      <c r="I6" s="13" t="e">
        <f t="shared" si="0"/>
        <v>#DIV/0!</v>
      </c>
      <c r="J6" s="13" t="e">
        <f t="shared" si="0"/>
        <v>#DIV/0!</v>
      </c>
      <c r="K6" s="13" t="e">
        <f t="shared" si="0"/>
        <v>#DIV/0!</v>
      </c>
      <c r="L6" s="17"/>
    </row>
    <row r="7" spans="1:12" ht="24.95" customHeight="1" x14ac:dyDescent="0.25">
      <c r="A7" s="43">
        <v>2009</v>
      </c>
      <c r="B7" s="41">
        <v>0</v>
      </c>
      <c r="C7" s="41">
        <v>0</v>
      </c>
      <c r="D7" s="41">
        <v>0</v>
      </c>
      <c r="E7" s="41">
        <v>0</v>
      </c>
      <c r="F7" s="41">
        <v>0</v>
      </c>
      <c r="H7" s="13" t="e">
        <f t="shared" si="1"/>
        <v>#DIV/0!</v>
      </c>
      <c r="I7" s="13" t="e">
        <f t="shared" si="0"/>
        <v>#DIV/0!</v>
      </c>
      <c r="J7" s="13" t="e">
        <f t="shared" si="0"/>
        <v>#DIV/0!</v>
      </c>
      <c r="K7" s="13" t="e">
        <f t="shared" si="0"/>
        <v>#DIV/0!</v>
      </c>
      <c r="L7" s="17"/>
    </row>
    <row r="8" spans="1:12" ht="24.95" customHeight="1" x14ac:dyDescent="0.25">
      <c r="A8" s="43">
        <v>2010</v>
      </c>
      <c r="B8" s="41">
        <v>0</v>
      </c>
      <c r="C8" s="41">
        <v>0</v>
      </c>
      <c r="D8" s="41">
        <v>0</v>
      </c>
      <c r="E8" s="41">
        <v>0</v>
      </c>
      <c r="F8" s="41">
        <v>0</v>
      </c>
      <c r="H8" s="13" t="e">
        <f t="shared" si="1"/>
        <v>#DIV/0!</v>
      </c>
      <c r="I8" s="13" t="e">
        <f t="shared" si="0"/>
        <v>#DIV/0!</v>
      </c>
      <c r="J8" s="13" t="e">
        <f t="shared" si="0"/>
        <v>#DIV/0!</v>
      </c>
      <c r="K8" s="13" t="e">
        <f t="shared" si="0"/>
        <v>#DIV/0!</v>
      </c>
      <c r="L8" s="17"/>
    </row>
    <row r="9" spans="1:12" ht="24.95" customHeight="1" x14ac:dyDescent="0.25">
      <c r="A9" s="43">
        <v>2011</v>
      </c>
      <c r="B9" s="41">
        <v>0</v>
      </c>
      <c r="C9" s="41">
        <v>3000</v>
      </c>
      <c r="D9" s="41">
        <v>0</v>
      </c>
      <c r="E9" s="41">
        <v>0</v>
      </c>
      <c r="F9" s="41">
        <f t="shared" ref="F9:F15" si="2">SUM(B9:E9)</f>
        <v>3000</v>
      </c>
      <c r="H9" s="13">
        <f t="shared" si="1"/>
        <v>0</v>
      </c>
      <c r="I9" s="13">
        <f t="shared" si="0"/>
        <v>1</v>
      </c>
      <c r="J9" s="13">
        <f t="shared" si="0"/>
        <v>0</v>
      </c>
      <c r="K9" s="13">
        <f t="shared" si="0"/>
        <v>0</v>
      </c>
      <c r="L9" s="17"/>
    </row>
    <row r="10" spans="1:12" ht="24.95" customHeight="1" x14ac:dyDescent="0.25">
      <c r="A10" s="43">
        <v>2012</v>
      </c>
      <c r="B10" s="41">
        <v>1250</v>
      </c>
      <c r="C10" s="41">
        <v>7926.9599999999946</v>
      </c>
      <c r="D10" s="41">
        <v>0</v>
      </c>
      <c r="E10" s="41">
        <v>3100</v>
      </c>
      <c r="F10" s="41">
        <f t="shared" si="2"/>
        <v>12276.959999999995</v>
      </c>
      <c r="H10" s="13">
        <f t="shared" si="1"/>
        <v>0.10181673639076778</v>
      </c>
      <c r="I10" s="13">
        <f t="shared" si="0"/>
        <v>0.645677757360128</v>
      </c>
      <c r="J10" s="13">
        <f t="shared" si="0"/>
        <v>0</v>
      </c>
      <c r="K10" s="13">
        <f t="shared" si="0"/>
        <v>0.25250550624910412</v>
      </c>
      <c r="L10" s="17"/>
    </row>
    <row r="11" spans="1:12" ht="24.95" customHeight="1" x14ac:dyDescent="0.25">
      <c r="A11" s="43">
        <v>2013</v>
      </c>
      <c r="B11" s="41">
        <v>1500</v>
      </c>
      <c r="C11" s="41">
        <v>4460</v>
      </c>
      <c r="D11" s="41">
        <v>0</v>
      </c>
      <c r="E11" s="41">
        <v>3100</v>
      </c>
      <c r="F11" s="41">
        <f t="shared" si="2"/>
        <v>9060</v>
      </c>
      <c r="H11" s="13">
        <f t="shared" si="1"/>
        <v>0.16556291390728478</v>
      </c>
      <c r="I11" s="13">
        <f t="shared" si="0"/>
        <v>0.49227373068432673</v>
      </c>
      <c r="J11" s="13">
        <f t="shared" si="0"/>
        <v>0</v>
      </c>
      <c r="K11" s="13">
        <f t="shared" si="0"/>
        <v>0.34216335540838855</v>
      </c>
      <c r="L11" s="17"/>
    </row>
    <row r="12" spans="1:12" ht="24.95" customHeight="1" x14ac:dyDescent="0.25">
      <c r="A12" s="48">
        <v>2014</v>
      </c>
      <c r="B12" s="41">
        <v>0</v>
      </c>
      <c r="C12" s="41">
        <v>1750</v>
      </c>
      <c r="D12" s="41">
        <v>5930</v>
      </c>
      <c r="E12" s="41">
        <v>8857</v>
      </c>
      <c r="F12" s="41">
        <f t="shared" si="2"/>
        <v>16537</v>
      </c>
      <c r="H12" s="13">
        <f t="shared" si="1"/>
        <v>0</v>
      </c>
      <c r="I12" s="13">
        <f t="shared" si="0"/>
        <v>0.10582330531535344</v>
      </c>
      <c r="J12" s="13">
        <f t="shared" si="0"/>
        <v>0.35858982886859769</v>
      </c>
      <c r="K12" s="13">
        <f t="shared" si="0"/>
        <v>0.53558686581604886</v>
      </c>
      <c r="L12" s="17"/>
    </row>
    <row r="13" spans="1:12" ht="24.95" customHeight="1" x14ac:dyDescent="0.25">
      <c r="A13" s="48">
        <v>2015</v>
      </c>
      <c r="B13" s="41">
        <f>+'[5]2015'!$B$6</f>
        <v>7725</v>
      </c>
      <c r="C13" s="41">
        <f>+'[5]2015'!$E$6</f>
        <v>12525</v>
      </c>
      <c r="D13" s="41">
        <f>+'[5]2015'!$H$6</f>
        <v>14193.48</v>
      </c>
      <c r="E13" s="60">
        <f>+'[5]2015'!$K$6</f>
        <v>9765</v>
      </c>
      <c r="F13" s="41">
        <f t="shared" si="2"/>
        <v>44208.479999999996</v>
      </c>
      <c r="H13" s="13">
        <f t="shared" si="1"/>
        <v>0.17474023083354145</v>
      </c>
      <c r="I13" s="13">
        <f t="shared" si="0"/>
        <v>0.28331668494370316</v>
      </c>
      <c r="J13" s="13">
        <f t="shared" si="0"/>
        <v>0.32105786039239531</v>
      </c>
      <c r="K13" s="13">
        <f t="shared" si="0"/>
        <v>0.22088522383036016</v>
      </c>
      <c r="L13" s="17"/>
    </row>
    <row r="14" spans="1:12" ht="24.95" customHeight="1" x14ac:dyDescent="0.25">
      <c r="A14" s="48">
        <v>2016</v>
      </c>
      <c r="B14" s="41">
        <f>+'[5]2016'!$B$6</f>
        <v>9870</v>
      </c>
      <c r="C14" s="41">
        <f>+'[5]2016'!$E$6</f>
        <v>18841</v>
      </c>
      <c r="D14" s="41">
        <f>+'[5]2016'!$H$6</f>
        <v>26736</v>
      </c>
      <c r="E14" s="60">
        <f>+'[5]2016'!$K$6</f>
        <v>11850</v>
      </c>
      <c r="F14" s="41">
        <f t="shared" si="2"/>
        <v>67297</v>
      </c>
      <c r="H14" s="13">
        <f t="shared" si="1"/>
        <v>0.14666329851256371</v>
      </c>
      <c r="I14" s="13">
        <f t="shared" si="0"/>
        <v>0.27996790347266592</v>
      </c>
      <c r="J14" s="13">
        <f t="shared" si="0"/>
        <v>0.39728368277932152</v>
      </c>
      <c r="K14" s="13">
        <f t="shared" si="0"/>
        <v>0.17608511523544884</v>
      </c>
      <c r="L14" s="17"/>
    </row>
    <row r="15" spans="1:12" ht="24.95" customHeight="1" x14ac:dyDescent="0.25">
      <c r="A15" s="48">
        <v>2017</v>
      </c>
      <c r="B15" s="41">
        <f>+'[5]2017'!$B$6</f>
        <v>4400</v>
      </c>
      <c r="C15" s="41">
        <f>+'[5]2017'!$E$6</f>
        <v>9268.7999999999993</v>
      </c>
      <c r="D15" s="41">
        <f>+'[5]2017'!$H$6</f>
        <v>16719</v>
      </c>
      <c r="E15" s="60">
        <f>+'[5]2017'!$K$6</f>
        <v>20729</v>
      </c>
      <c r="F15" s="41">
        <f t="shared" si="2"/>
        <v>51116.800000000003</v>
      </c>
      <c r="H15" s="13">
        <f t="shared" si="1"/>
        <v>8.6077375735570297E-2</v>
      </c>
      <c r="I15" s="13">
        <f t="shared" si="0"/>
        <v>0.18132590459496681</v>
      </c>
      <c r="J15" s="13">
        <f t="shared" si="0"/>
        <v>0.32707446475522722</v>
      </c>
      <c r="K15" s="13">
        <f t="shared" si="0"/>
        <v>0.4055222549142356</v>
      </c>
      <c r="L15" s="17"/>
    </row>
    <row r="20" spans="1:12" ht="23.25" x14ac:dyDescent="0.25">
      <c r="A20" s="44" t="s">
        <v>145</v>
      </c>
      <c r="B20" s="16">
        <f>AVERAGE(B9:B15)</f>
        <v>3535</v>
      </c>
      <c r="C20" s="16">
        <f>AVERAGE(C9:C15)</f>
        <v>8253.1085714285709</v>
      </c>
      <c r="D20" s="16">
        <f>AVERAGE(D9:D15)</f>
        <v>9082.64</v>
      </c>
      <c r="E20" s="16">
        <f>AVERAGE(E9:E15)</f>
        <v>8200.1428571428569</v>
      </c>
      <c r="F20" s="16">
        <f>AVERAGE(F9:F15)</f>
        <v>29070.891428571427</v>
      </c>
      <c r="H20" s="13" t="e">
        <f>AVERAGE(H5:H15)</f>
        <v>#DIV/0!</v>
      </c>
      <c r="I20" s="13" t="e">
        <f>AVERAGE(I5:I15)</f>
        <v>#DIV/0!</v>
      </c>
      <c r="J20" s="13" t="e">
        <f>AVERAGE(J5:J15)</f>
        <v>#DIV/0!</v>
      </c>
      <c r="K20" s="13" t="e">
        <f>AVERAGE(K5:K15)</f>
        <v>#DIV/0!</v>
      </c>
      <c r="L20" s="17"/>
    </row>
  </sheetData>
  <sheetProtection sheet="1" objects="1" scenarios="1"/>
  <pageMargins left="0.7" right="0.7" top="0.75" bottom="0.75" header="0.3" footer="0.3"/>
  <pageSetup paperSize="9" orientation="landscape" horizontalDpi="0" verticalDpi="0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'HISTORICO TRAZIA'!H15:K15</xm:f>
              <xm:sqref>L15</xm:sqref>
            </x14:sparkline>
          </x14:sparklines>
        </x14:sparklineGroup>
        <x14:sparklineGroup type="column" displayEmptyCellsAs="gap" high="1" minAxisType="group" maxAxisType="grou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'HISTORICO TRAZIA'!B20:E20</xm:f>
              <xm:sqref>G20</xm:sqref>
            </x14:sparkline>
          </x14:sparklines>
        </x14:sparklineGroup>
        <x14:sparklineGroup type="column" displayEmptyCellsAs="gap" high="1" minAxisType="group" maxAxisType="grou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'HISTORICO TRAZIA'!B4:E4</xm:f>
              <xm:sqref>G4</xm:sqref>
            </x14:sparkline>
          </x14:sparklines>
        </x14:sparklineGroup>
        <x14:sparklineGroup type="column" displayEmptyCellsAs="gap" high="1" minAxisType="group" maxAxisType="grou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'HISTORICO TRAZIA'!B5:E5</xm:f>
              <xm:sqref>G5</xm:sqref>
            </x14:sparkline>
            <x14:sparkline>
              <xm:f>'HISTORICO TRAZIA'!B6:E6</xm:f>
              <xm:sqref>G6</xm:sqref>
            </x14:sparkline>
            <x14:sparkline>
              <xm:f>'HISTORICO TRAZIA'!B7:E7</xm:f>
              <xm:sqref>G7</xm:sqref>
            </x14:sparkline>
            <x14:sparkline>
              <xm:f>'HISTORICO TRAZIA'!B8:E8</xm:f>
              <xm:sqref>G8</xm:sqref>
            </x14:sparkline>
            <x14:sparkline>
              <xm:f>'HISTORICO TRAZIA'!B9:E9</xm:f>
              <xm:sqref>G9</xm:sqref>
            </x14:sparkline>
            <x14:sparkline>
              <xm:f>'HISTORICO TRAZIA'!B10:E10</xm:f>
              <xm:sqref>G10</xm:sqref>
            </x14:sparkline>
            <x14:sparkline>
              <xm:f>'HISTORICO TRAZIA'!B11:E11</xm:f>
              <xm:sqref>G11</xm:sqref>
            </x14:sparkline>
            <x14:sparkline>
              <xm:f>'HISTORICO TRAZIA'!B12:E12</xm:f>
              <xm:sqref>G12</xm:sqref>
            </x14:sparkline>
            <x14:sparkline>
              <xm:f>'HISTORICO TRAZIA'!B13:E13</xm:f>
              <xm:sqref>G13</xm:sqref>
            </x14:sparkline>
            <x14:sparkline>
              <xm:f>'HISTORICO TRAZIA'!B14:E14</xm:f>
              <xm:sqref>G14</xm:sqref>
            </x14:sparkline>
            <x14:sparkline>
              <xm:f>'HISTORICO TRAZIA'!B15:E15</xm:f>
              <xm:sqref>G15</xm:sqref>
            </x14:sparkline>
          </x14:sparklines>
        </x14:sparklineGroup>
        <x14:sparklineGroup displayEmptyCellsAs="gap" high="1" low="1" minAxisType="group" maxAxisType="grou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'HISTORICO TRAZIA'!F4:F13</xm:f>
              <xm:sqref>F18</xm:sqref>
            </x14:sparkline>
          </x14:sparklines>
        </x14:sparklineGroup>
        <x14:sparklineGroup displayEmptyCellsAs="gap" high="1" low="1" minAxisType="group" maxAxisType="grou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'HISTORICO TRAZIA'!E4:E13</xm:f>
              <xm:sqref>E18</xm:sqref>
            </x14:sparkline>
            <x14:sparkline>
              <xm:f>'HISTORICO TRAZIA'!D4:D13</xm:f>
              <xm:sqref>D18</xm:sqref>
            </x14:sparkline>
            <x14:sparkline>
              <xm:f>'HISTORICO TRAZIA'!C4:C13</xm:f>
              <xm:sqref>C18</xm:sqref>
            </x14:sparkline>
            <x14:sparkline>
              <xm:f>'HISTORICO TRAZIA'!B4:B13</xm:f>
              <xm:sqref>B18</xm:sqref>
            </x14:sparkline>
          </x14:sparklines>
        </x14:sparklineGroup>
        <x14:sparklineGroup type="column" displayEmptyCellsAs="gap" high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'HISTORICO TRAZIA'!H20:K20</xm:f>
              <xm:sqref>L20</xm:sqref>
            </x14:sparkline>
          </x14:sparklines>
        </x14:sparklineGroup>
        <x14:sparklineGroup type="column" displayEmptyCellsAs="gap" high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'HISTORICO TRAZIA'!H5:K5</xm:f>
              <xm:sqref>L5</xm:sqref>
            </x14:sparkline>
            <x14:sparkline>
              <xm:f>'HISTORICO TRAZIA'!H6:K6</xm:f>
              <xm:sqref>L6</xm:sqref>
            </x14:sparkline>
            <x14:sparkline>
              <xm:f>'HISTORICO TRAZIA'!H7:K7</xm:f>
              <xm:sqref>L7</xm:sqref>
            </x14:sparkline>
            <x14:sparkline>
              <xm:f>'HISTORICO TRAZIA'!H8:K8</xm:f>
              <xm:sqref>L8</xm:sqref>
            </x14:sparkline>
            <x14:sparkline>
              <xm:f>'HISTORICO TRAZIA'!H9:K9</xm:f>
              <xm:sqref>L9</xm:sqref>
            </x14:sparkline>
            <x14:sparkline>
              <xm:f>'HISTORICO TRAZIA'!H10:K10</xm:f>
              <xm:sqref>L10</xm:sqref>
            </x14:sparkline>
            <x14:sparkline>
              <xm:f>'HISTORICO TRAZIA'!H11:K11</xm:f>
              <xm:sqref>L11</xm:sqref>
            </x14:sparkline>
            <x14:sparkline>
              <xm:f>'HISTORICO TRAZIA'!H12:K12</xm:f>
              <xm:sqref>L12</xm:sqref>
            </x14:sparkline>
            <x14:sparkline>
              <xm:f>'HISTORICO TRAZIA'!H13:K13</xm:f>
              <xm:sqref>L13</xm:sqref>
            </x14:sparkline>
            <x14:sparkline>
              <xm:f>'HISTORICO TRAZIA'!H14:K14</xm:f>
              <xm:sqref>L14</xm:sqref>
            </x14:sparkline>
          </x14:sparklines>
        </x14:sparklineGroup>
        <x14:sparklineGroup type="column" displayEmptyCellsAs="gap" high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'HISTORICO TRAZIA'!H4:K4</xm:f>
              <xm:sqref>L4</xm:sqref>
            </x14:sparkline>
          </x14:sparklines>
        </x14:sparklineGroup>
        <x14:sparklineGroup displayEmptyCellsAs="gap" high="1" low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'HISTORICO TRAZIA'!G4:G14</xm:f>
              <xm:sqref>O8</xm:sqref>
            </x14:sparkline>
          </x14:sparklines>
        </x14:sparklineGroup>
      </x14:sparklineGroup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B22" sqref="B22"/>
    </sheetView>
  </sheetViews>
  <sheetFormatPr baseColWidth="10" defaultRowHeight="15" x14ac:dyDescent="0.25"/>
  <cols>
    <col min="1" max="6" width="11.42578125" style="11"/>
    <col min="7" max="7" width="7.85546875" style="11" customWidth="1"/>
    <col min="8" max="11" width="5.7109375" customWidth="1"/>
    <col min="12" max="12" width="7" style="11" customWidth="1"/>
    <col min="14" max="14" width="27.28515625" customWidth="1"/>
  </cols>
  <sheetData>
    <row r="1" spans="1:12" x14ac:dyDescent="0.25">
      <c r="A1" s="26" t="s">
        <v>146</v>
      </c>
    </row>
    <row r="2" spans="1:12" x14ac:dyDescent="0.25">
      <c r="H2" s="45" t="s">
        <v>89</v>
      </c>
    </row>
    <row r="3" spans="1:12" x14ac:dyDescent="0.25">
      <c r="B3" s="40" t="s">
        <v>83</v>
      </c>
      <c r="C3" s="40" t="s">
        <v>84</v>
      </c>
      <c r="D3" s="40" t="s">
        <v>85</v>
      </c>
      <c r="E3" s="40" t="s">
        <v>86</v>
      </c>
      <c r="F3" s="42" t="s">
        <v>87</v>
      </c>
      <c r="H3" s="40" t="s">
        <v>83</v>
      </c>
      <c r="I3" s="40" t="s">
        <v>84</v>
      </c>
      <c r="J3" s="40" t="s">
        <v>85</v>
      </c>
      <c r="K3" s="40" t="s">
        <v>86</v>
      </c>
    </row>
    <row r="4" spans="1:12" ht="24.95" customHeight="1" x14ac:dyDescent="0.25">
      <c r="A4" s="43">
        <v>2006</v>
      </c>
      <c r="B4" s="41">
        <f>+'HISTORICO CPS'!B4+'HISTORICO TRAZIA'!B4</f>
        <v>46054.29</v>
      </c>
      <c r="C4" s="41">
        <f>+'HISTORICO CPS'!C4+'HISTORICO TRAZIA'!C4</f>
        <v>51161.59</v>
      </c>
      <c r="D4" s="41">
        <f>+'HISTORICO CPS'!D4+'HISTORICO TRAZIA'!D4</f>
        <v>87295.99</v>
      </c>
      <c r="E4" s="41">
        <f>+'HISTORICO CPS'!E4+'HISTORICO TRAZIA'!E4</f>
        <v>3024.8</v>
      </c>
      <c r="F4" s="41">
        <f t="shared" ref="F4:F8" si="0">SUM(B4:E4)</f>
        <v>187536.66999999998</v>
      </c>
      <c r="H4" s="46">
        <f>B4/$F4</f>
        <v>0.2455748521075905</v>
      </c>
      <c r="I4" s="46">
        <f t="shared" ref="I4:K15" si="1">C4/$F4</f>
        <v>0.27280845927359165</v>
      </c>
      <c r="J4" s="46">
        <f t="shared" si="1"/>
        <v>0.46548757637639621</v>
      </c>
      <c r="K4" s="46">
        <f t="shared" si="1"/>
        <v>1.6129112242421712E-2</v>
      </c>
      <c r="L4" s="17"/>
    </row>
    <row r="5" spans="1:12" ht="24.95" customHeight="1" x14ac:dyDescent="0.25">
      <c r="A5" s="43">
        <v>2007</v>
      </c>
      <c r="B5" s="41">
        <f>+'HISTORICO CPS'!B5+'HISTORICO TRAZIA'!B5</f>
        <v>6170.0199999999995</v>
      </c>
      <c r="C5" s="41">
        <f>+'HISTORICO CPS'!C5+'HISTORICO TRAZIA'!C5</f>
        <v>7185.8</v>
      </c>
      <c r="D5" s="41">
        <f>+'HISTORICO CPS'!D5+'HISTORICO TRAZIA'!D5</f>
        <v>9261.7000000000007</v>
      </c>
      <c r="E5" s="41">
        <f>+'HISTORICO CPS'!E5+'HISTORICO TRAZIA'!E5</f>
        <v>4672.5</v>
      </c>
      <c r="F5" s="41">
        <f t="shared" si="0"/>
        <v>27290.02</v>
      </c>
      <c r="H5" s="13">
        <f>B5/$F5</f>
        <v>0.22609071008375953</v>
      </c>
      <c r="I5" s="13">
        <f t="shared" si="1"/>
        <v>0.26331237573296024</v>
      </c>
      <c r="J5" s="13">
        <f t="shared" si="1"/>
        <v>0.3393804768189983</v>
      </c>
      <c r="K5" s="13">
        <f t="shared" si="1"/>
        <v>0.17121643736428188</v>
      </c>
      <c r="L5" s="17"/>
    </row>
    <row r="6" spans="1:12" ht="24.95" customHeight="1" x14ac:dyDescent="0.25">
      <c r="A6" s="43">
        <v>2008</v>
      </c>
      <c r="B6" s="41">
        <f>+'HISTORICO CPS'!B6+'HISTORICO TRAZIA'!B6</f>
        <v>3030</v>
      </c>
      <c r="C6" s="41">
        <f>+'HISTORICO CPS'!C6+'HISTORICO TRAZIA'!C6</f>
        <v>5275</v>
      </c>
      <c r="D6" s="41">
        <f>+'HISTORICO CPS'!D6+'HISTORICO TRAZIA'!D6</f>
        <v>33108.800000000003</v>
      </c>
      <c r="E6" s="41">
        <f>+'HISTORICO CPS'!E6+'HISTORICO TRAZIA'!E6</f>
        <v>27821.54</v>
      </c>
      <c r="F6" s="41">
        <f t="shared" si="0"/>
        <v>69235.34</v>
      </c>
      <c r="H6" s="13">
        <f t="shared" ref="H6:H15" si="2">B6/$F6</f>
        <v>4.3763777284837484E-2</v>
      </c>
      <c r="I6" s="13">
        <f t="shared" si="1"/>
        <v>7.618941425000586E-2</v>
      </c>
      <c r="J6" s="13">
        <f t="shared" si="1"/>
        <v>0.47820664995651069</v>
      </c>
      <c r="K6" s="13">
        <f t="shared" si="1"/>
        <v>0.40184015850864607</v>
      </c>
      <c r="L6" s="17"/>
    </row>
    <row r="7" spans="1:12" ht="24.95" customHeight="1" x14ac:dyDescent="0.25">
      <c r="A7" s="43">
        <v>2009</v>
      </c>
      <c r="B7" s="41">
        <f>+'HISTORICO CPS'!B7+'HISTORICO TRAZIA'!B7</f>
        <v>3813.5</v>
      </c>
      <c r="C7" s="41">
        <f>+'HISTORICO CPS'!C7+'HISTORICO TRAZIA'!C7</f>
        <v>10353.970000000001</v>
      </c>
      <c r="D7" s="41">
        <f>+'HISTORICO CPS'!D7+'HISTORICO TRAZIA'!D7</f>
        <v>375</v>
      </c>
      <c r="E7" s="41">
        <f>+'HISTORICO CPS'!E7+'HISTORICO TRAZIA'!E7</f>
        <v>14798</v>
      </c>
      <c r="F7" s="41">
        <f t="shared" si="0"/>
        <v>29340.47</v>
      </c>
      <c r="H7" s="13">
        <f t="shared" si="2"/>
        <v>0.12997405972024306</v>
      </c>
      <c r="I7" s="13">
        <f t="shared" si="1"/>
        <v>0.35289039337134004</v>
      </c>
      <c r="J7" s="13">
        <f t="shared" si="1"/>
        <v>1.2780981354422747E-2</v>
      </c>
      <c r="K7" s="13">
        <f t="shared" si="1"/>
        <v>0.50435456555399416</v>
      </c>
      <c r="L7" s="17"/>
    </row>
    <row r="8" spans="1:12" ht="24.95" customHeight="1" x14ac:dyDescent="0.25">
      <c r="A8" s="43">
        <v>2010</v>
      </c>
      <c r="B8" s="41">
        <f>+'HISTORICO CPS'!B8+'HISTORICO TRAZIA'!B8</f>
        <v>8975.0499999999993</v>
      </c>
      <c r="C8" s="41">
        <f>+'HISTORICO CPS'!C8+'HISTORICO TRAZIA'!C8</f>
        <v>6250.25</v>
      </c>
      <c r="D8" s="41">
        <f>+'HISTORICO CPS'!D8+'HISTORICO TRAZIA'!D8</f>
        <v>7247.3</v>
      </c>
      <c r="E8" s="41">
        <f>+'HISTORICO CPS'!E8+'HISTORICO TRAZIA'!E8</f>
        <v>11160.35</v>
      </c>
      <c r="F8" s="41">
        <f t="shared" si="0"/>
        <v>33632.949999999997</v>
      </c>
      <c r="H8" s="13">
        <f t="shared" si="2"/>
        <v>0.26685289277330715</v>
      </c>
      <c r="I8" s="13">
        <f t="shared" si="1"/>
        <v>0.18583710319790564</v>
      </c>
      <c r="J8" s="13">
        <f t="shared" si="1"/>
        <v>0.21548213879543723</v>
      </c>
      <c r="K8" s="13">
        <f t="shared" si="1"/>
        <v>0.33182786523335006</v>
      </c>
      <c r="L8" s="17"/>
    </row>
    <row r="9" spans="1:12" ht="24.95" customHeight="1" x14ac:dyDescent="0.25">
      <c r="A9" s="43">
        <v>2011</v>
      </c>
      <c r="B9" s="41">
        <f>+'HISTORICO CPS'!B9+'HISTORICO TRAZIA'!B9</f>
        <v>3639</v>
      </c>
      <c r="C9" s="41">
        <f>+'HISTORICO CPS'!C9+'HISTORICO TRAZIA'!C9</f>
        <v>6120.5</v>
      </c>
      <c r="D9" s="41">
        <f>+'HISTORICO CPS'!D9+'HISTORICO TRAZIA'!D9</f>
        <v>3988.14</v>
      </c>
      <c r="E9" s="41">
        <f>+'HISTORICO CPS'!E9+'HISTORICO TRAZIA'!E9</f>
        <v>8847.5</v>
      </c>
      <c r="F9" s="41">
        <f t="shared" ref="F9:F15" si="3">SUM(B9:E9)</f>
        <v>22595.14</v>
      </c>
      <c r="H9" s="13">
        <f t="shared" si="2"/>
        <v>0.16105233249273959</v>
      </c>
      <c r="I9" s="13">
        <f t="shared" si="1"/>
        <v>0.27087683457593092</v>
      </c>
      <c r="J9" s="13">
        <f t="shared" si="1"/>
        <v>0.17650432792184514</v>
      </c>
      <c r="K9" s="13">
        <f t="shared" si="1"/>
        <v>0.39156650500948437</v>
      </c>
      <c r="L9" s="17"/>
    </row>
    <row r="10" spans="1:12" ht="24.95" customHeight="1" x14ac:dyDescent="0.25">
      <c r="A10" s="43">
        <v>2012</v>
      </c>
      <c r="B10" s="41">
        <f>+'HISTORICO CPS'!B10+'HISTORICO TRAZIA'!B10</f>
        <v>4627.88</v>
      </c>
      <c r="C10" s="41">
        <f>+'HISTORICO CPS'!C10+'HISTORICO TRAZIA'!C10</f>
        <v>13949.959999999995</v>
      </c>
      <c r="D10" s="41">
        <f>+'HISTORICO CPS'!D10+'HISTORICO TRAZIA'!D10</f>
        <v>6504.55</v>
      </c>
      <c r="E10" s="41">
        <f>+'HISTORICO CPS'!E10+'HISTORICO TRAZIA'!E10</f>
        <v>13079.67</v>
      </c>
      <c r="F10" s="41">
        <f t="shared" si="3"/>
        <v>38162.06</v>
      </c>
      <c r="H10" s="13">
        <f t="shared" si="2"/>
        <v>0.12126913484230151</v>
      </c>
      <c r="I10" s="13">
        <f t="shared" si="1"/>
        <v>0.36554525620472261</v>
      </c>
      <c r="J10" s="13">
        <f t="shared" si="1"/>
        <v>0.17044546337383257</v>
      </c>
      <c r="K10" s="13">
        <f t="shared" si="1"/>
        <v>0.34274014557914328</v>
      </c>
      <c r="L10" s="17"/>
    </row>
    <row r="11" spans="1:12" ht="24.95" customHeight="1" x14ac:dyDescent="0.25">
      <c r="A11" s="43">
        <v>2013</v>
      </c>
      <c r="B11" s="41">
        <f>+'HISTORICO CPS'!B11+'HISTORICO TRAZIA'!B11</f>
        <v>9218.09</v>
      </c>
      <c r="C11" s="41">
        <f>+'HISTORICO CPS'!C11+'HISTORICO TRAZIA'!C11</f>
        <v>12436.86</v>
      </c>
      <c r="D11" s="41">
        <f>+'HISTORICO CPS'!D11+'HISTORICO TRAZIA'!D11</f>
        <v>3566.4800000000005</v>
      </c>
      <c r="E11" s="41">
        <f>+'HISTORICO CPS'!E11+'HISTORICO TRAZIA'!E11</f>
        <v>12597.46</v>
      </c>
      <c r="F11" s="41">
        <f t="shared" si="3"/>
        <v>37818.89</v>
      </c>
      <c r="H11" s="13">
        <f t="shared" si="2"/>
        <v>0.24374300779319541</v>
      </c>
      <c r="I11" s="13">
        <f t="shared" si="1"/>
        <v>0.3288531207552628</v>
      </c>
      <c r="J11" s="13">
        <f t="shared" si="1"/>
        <v>9.4304195601721805E-2</v>
      </c>
      <c r="K11" s="13">
        <f t="shared" si="1"/>
        <v>0.33309967584982003</v>
      </c>
      <c r="L11" s="17"/>
    </row>
    <row r="12" spans="1:12" ht="24.95" customHeight="1" x14ac:dyDescent="0.25">
      <c r="A12" s="48">
        <v>2014</v>
      </c>
      <c r="B12" s="41">
        <f>+'HISTORICO CPS'!B12+'HISTORICO TRAZIA'!B12</f>
        <v>7203.1900000000005</v>
      </c>
      <c r="C12" s="41">
        <f>+'HISTORICO CPS'!C12+'HISTORICO TRAZIA'!C12</f>
        <v>4693.38</v>
      </c>
      <c r="D12" s="41">
        <f>+'HISTORICO CPS'!D12+'HISTORICO TRAZIA'!D12</f>
        <v>9300</v>
      </c>
      <c r="E12" s="41">
        <f>+'HISTORICO CPS'!E12+'HISTORICO TRAZIA'!E12</f>
        <v>19688.8</v>
      </c>
      <c r="F12" s="41">
        <f t="shared" si="3"/>
        <v>40885.369999999995</v>
      </c>
      <c r="H12" s="13">
        <f t="shared" si="2"/>
        <v>0.17618013485019215</v>
      </c>
      <c r="I12" s="13">
        <f t="shared" si="1"/>
        <v>0.1147936291147665</v>
      </c>
      <c r="J12" s="13">
        <f t="shared" si="1"/>
        <v>0.22746522778196701</v>
      </c>
      <c r="K12" s="13">
        <f t="shared" si="1"/>
        <v>0.48156100825307441</v>
      </c>
      <c r="L12" s="17"/>
    </row>
    <row r="13" spans="1:12" ht="24.95" customHeight="1" x14ac:dyDescent="0.25">
      <c r="A13" s="48">
        <v>2015</v>
      </c>
      <c r="B13" s="41">
        <f>+'HISTORICO CPS'!B13+'HISTORICO TRAZIA'!B13</f>
        <v>14645</v>
      </c>
      <c r="C13" s="41">
        <f>+'HISTORICO CPS'!C13+'HISTORICO TRAZIA'!C13</f>
        <v>22720</v>
      </c>
      <c r="D13" s="41">
        <f>+'HISTORICO CPS'!D13+'HISTORICO TRAZIA'!D13</f>
        <v>17543.48</v>
      </c>
      <c r="E13" s="41">
        <f>+'HISTORICO CPS'!E13+'HISTORICO TRAZIA'!E13</f>
        <v>20614.21</v>
      </c>
      <c r="F13" s="41">
        <f t="shared" si="3"/>
        <v>75522.69</v>
      </c>
      <c r="H13" s="13">
        <f t="shared" si="2"/>
        <v>0.19391523262743951</v>
      </c>
      <c r="I13" s="13">
        <f t="shared" si="1"/>
        <v>0.30083674191160298</v>
      </c>
      <c r="J13" s="13">
        <f t="shared" si="1"/>
        <v>0.23229416219152149</v>
      </c>
      <c r="K13" s="13">
        <f t="shared" si="1"/>
        <v>0.27295386326943594</v>
      </c>
      <c r="L13" s="17"/>
    </row>
    <row r="14" spans="1:12" ht="24.95" customHeight="1" x14ac:dyDescent="0.25">
      <c r="A14" s="48">
        <v>2016</v>
      </c>
      <c r="B14" s="41">
        <f>+'HISTORICO CPS'!B14+'HISTORICO TRAZIA'!B14</f>
        <v>13175.79</v>
      </c>
      <c r="C14" s="41">
        <f>+'HISTORICO CPS'!C14+'HISTORICO TRAZIA'!C14</f>
        <v>25217.98</v>
      </c>
      <c r="D14" s="41">
        <f>+'HISTORICO CPS'!D14+'HISTORICO TRAZIA'!D14</f>
        <v>30717.360000000001</v>
      </c>
      <c r="E14" s="41">
        <f>+'HISTORICO CPS'!E14+'HISTORICO TRAZIA'!E14</f>
        <v>14550</v>
      </c>
      <c r="F14" s="41">
        <f t="shared" si="3"/>
        <v>83661.13</v>
      </c>
      <c r="H14" s="13">
        <f t="shared" si="2"/>
        <v>0.15748998369971814</v>
      </c>
      <c r="I14" s="13">
        <f t="shared" si="1"/>
        <v>0.30143006674664802</v>
      </c>
      <c r="J14" s="13">
        <f t="shared" si="1"/>
        <v>0.36716405814743358</v>
      </c>
      <c r="K14" s="13">
        <f t="shared" si="1"/>
        <v>0.17391589140620023</v>
      </c>
      <c r="L14" s="17"/>
    </row>
    <row r="15" spans="1:12" ht="24.95" customHeight="1" x14ac:dyDescent="0.25">
      <c r="A15" s="48">
        <v>2017</v>
      </c>
      <c r="B15" s="41">
        <f>+'HISTORICO CPS'!B15+'HISTORICO TRAZIA'!B15</f>
        <v>11660</v>
      </c>
      <c r="C15" s="41">
        <f>+'HISTORICO CPS'!C15+'HISTORICO TRAZIA'!C15</f>
        <v>21378.58</v>
      </c>
      <c r="D15" s="41">
        <f>+'HISTORICO CPS'!D15+'HISTORICO TRAZIA'!D15</f>
        <v>24016.02</v>
      </c>
      <c r="E15" s="41">
        <f>+'HISTORICO CPS'!E15+'HISTORICO TRAZIA'!E15</f>
        <v>32255.040000000001</v>
      </c>
      <c r="F15" s="41">
        <f t="shared" si="3"/>
        <v>89309.640000000014</v>
      </c>
      <c r="H15" s="13">
        <f t="shared" si="2"/>
        <v>0.13055701489783184</v>
      </c>
      <c r="I15" s="13">
        <f t="shared" si="1"/>
        <v>0.23937595090518782</v>
      </c>
      <c r="J15" s="13">
        <f t="shared" si="1"/>
        <v>0.26890736543110011</v>
      </c>
      <c r="K15" s="13">
        <f t="shared" si="1"/>
        <v>0.36115966876588007</v>
      </c>
      <c r="L15" s="17"/>
    </row>
    <row r="20" spans="1:12" ht="23.25" x14ac:dyDescent="0.25">
      <c r="A20" s="44" t="s">
        <v>147</v>
      </c>
      <c r="B20" s="16">
        <f>AVERAGE(B4:B15)</f>
        <v>11017.650833333333</v>
      </c>
      <c r="C20" s="16">
        <f>AVERAGE(C4:C15)</f>
        <v>15561.989166666666</v>
      </c>
      <c r="D20" s="16">
        <f>AVERAGE(D4:D15)</f>
        <v>19410.401666666668</v>
      </c>
      <c r="E20" s="16">
        <f>AVERAGE(E4:E15)</f>
        <v>15259.155833333336</v>
      </c>
      <c r="F20" s="16">
        <f>AVERAGE(F9:F15)</f>
        <v>55422.131428571432</v>
      </c>
      <c r="H20" s="13">
        <f t="shared" ref="H20" si="4">B20/$F20</f>
        <v>0.19879514824385608</v>
      </c>
      <c r="I20" s="13">
        <f t="shared" ref="I20" si="5">C20/$F20</f>
        <v>0.28079016027601006</v>
      </c>
      <c r="J20" s="13">
        <f t="shared" ref="J20" si="6">D20/$F20</f>
        <v>0.35022835041418388</v>
      </c>
      <c r="K20" s="13">
        <f t="shared" ref="K20" si="7">E20/$F20</f>
        <v>0.27532603745129292</v>
      </c>
      <c r="L20" s="17"/>
    </row>
  </sheetData>
  <sheetProtection sheet="1" objects="1" scenarios="1"/>
  <pageMargins left="0.7" right="0.7" top="0.75" bottom="0.75" header="0.3" footer="0.3"/>
  <pageSetup paperSize="9" orientation="landscape" horizontalDpi="0" verticalDpi="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'HISTORICO '!G4:G14</xm:f>
              <xm:sqref>O8</xm:sqref>
            </x14:sparkline>
          </x14:sparklines>
        </x14:sparklineGroup>
        <x14:sparklineGroup type="column" displayEmptyCellsAs="gap" high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'HISTORICO '!H4:K4</xm:f>
              <xm:sqref>L4</xm:sqref>
            </x14:sparkline>
          </x14:sparklines>
        </x14:sparklineGroup>
        <x14:sparklineGroup type="column" displayEmptyCellsAs="gap" high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'HISTORICO '!H5:K5</xm:f>
              <xm:sqref>L5</xm:sqref>
            </x14:sparkline>
            <x14:sparkline>
              <xm:f>'HISTORICO '!H6:K6</xm:f>
              <xm:sqref>L6</xm:sqref>
            </x14:sparkline>
            <x14:sparkline>
              <xm:f>'HISTORICO '!H7:K7</xm:f>
              <xm:sqref>L7</xm:sqref>
            </x14:sparkline>
            <x14:sparkline>
              <xm:f>'HISTORICO '!H8:K8</xm:f>
              <xm:sqref>L8</xm:sqref>
            </x14:sparkline>
            <x14:sparkline>
              <xm:f>'HISTORICO '!H9:K9</xm:f>
              <xm:sqref>L9</xm:sqref>
            </x14:sparkline>
            <x14:sparkline>
              <xm:f>'HISTORICO '!H10:K10</xm:f>
              <xm:sqref>L10</xm:sqref>
            </x14:sparkline>
            <x14:sparkline>
              <xm:f>'HISTORICO '!H11:K11</xm:f>
              <xm:sqref>L11</xm:sqref>
            </x14:sparkline>
            <x14:sparkline>
              <xm:f>'HISTORICO '!H12:K12</xm:f>
              <xm:sqref>L12</xm:sqref>
            </x14:sparkline>
            <x14:sparkline>
              <xm:f>'HISTORICO '!H13:K13</xm:f>
              <xm:sqref>L13</xm:sqref>
            </x14:sparkline>
            <x14:sparkline>
              <xm:f>'HISTORICO '!H14:K14</xm:f>
              <xm:sqref>L14</xm:sqref>
            </x14:sparkline>
          </x14:sparklines>
        </x14:sparklineGroup>
        <x14:sparklineGroup type="column" displayEmptyCellsAs="gap" high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'HISTORICO '!H20:K20</xm:f>
              <xm:sqref>L20</xm:sqref>
            </x14:sparkline>
          </x14:sparklines>
        </x14:sparklineGroup>
        <x14:sparklineGroup displayEmptyCellsAs="gap" high="1" low="1" minAxisType="group" maxAxisType="grou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'HISTORICO '!E4:E13</xm:f>
              <xm:sqref>E18</xm:sqref>
            </x14:sparkline>
            <x14:sparkline>
              <xm:f>'HISTORICO '!D4:D13</xm:f>
              <xm:sqref>D18</xm:sqref>
            </x14:sparkline>
            <x14:sparkline>
              <xm:f>'HISTORICO '!C4:C13</xm:f>
              <xm:sqref>C18</xm:sqref>
            </x14:sparkline>
            <x14:sparkline>
              <xm:f>'HISTORICO '!B4:B13</xm:f>
              <xm:sqref>B18</xm:sqref>
            </x14:sparkline>
          </x14:sparklines>
        </x14:sparklineGroup>
        <x14:sparklineGroup displayEmptyCellsAs="gap" high="1" low="1" minAxisType="group" maxAxisType="grou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'HISTORICO '!F4:F13</xm:f>
              <xm:sqref>F18</xm:sqref>
            </x14:sparkline>
          </x14:sparklines>
        </x14:sparklineGroup>
        <x14:sparklineGroup type="column" displayEmptyCellsAs="gap" high="1" minAxisType="group" maxAxisType="grou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'HISTORICO '!B5:E5</xm:f>
              <xm:sqref>G5</xm:sqref>
            </x14:sparkline>
            <x14:sparkline>
              <xm:f>'HISTORICO '!B6:E6</xm:f>
              <xm:sqref>G6</xm:sqref>
            </x14:sparkline>
            <x14:sparkline>
              <xm:f>'HISTORICO '!B7:E7</xm:f>
              <xm:sqref>G7</xm:sqref>
            </x14:sparkline>
            <x14:sparkline>
              <xm:f>'HISTORICO '!B8:E8</xm:f>
              <xm:sqref>G8</xm:sqref>
            </x14:sparkline>
            <x14:sparkline>
              <xm:f>'HISTORICO '!B9:E9</xm:f>
              <xm:sqref>G9</xm:sqref>
            </x14:sparkline>
            <x14:sparkline>
              <xm:f>'HISTORICO '!B10:E10</xm:f>
              <xm:sqref>G10</xm:sqref>
            </x14:sparkline>
            <x14:sparkline>
              <xm:f>'HISTORICO '!B11:E11</xm:f>
              <xm:sqref>G11</xm:sqref>
            </x14:sparkline>
            <x14:sparkline>
              <xm:f>'HISTORICO '!B12:E12</xm:f>
              <xm:sqref>G12</xm:sqref>
            </x14:sparkline>
            <x14:sparkline>
              <xm:f>'HISTORICO '!B13:E13</xm:f>
              <xm:sqref>G13</xm:sqref>
            </x14:sparkline>
            <x14:sparkline>
              <xm:f>'HISTORICO '!B14:E14</xm:f>
              <xm:sqref>G14</xm:sqref>
            </x14:sparkline>
            <x14:sparkline>
              <xm:f>'HISTORICO '!B15:E15</xm:f>
              <xm:sqref>G15</xm:sqref>
            </x14:sparkline>
          </x14:sparklines>
        </x14:sparklineGroup>
        <x14:sparklineGroup type="column" displayEmptyCellsAs="gap" high="1" minAxisType="group" maxAxisType="grou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'HISTORICO '!B4:E4</xm:f>
              <xm:sqref>G4</xm:sqref>
            </x14:sparkline>
          </x14:sparklines>
        </x14:sparklineGroup>
        <x14:sparklineGroup type="column" displayEmptyCellsAs="gap" high="1" minAxisType="group" maxAxisType="grou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'HISTORICO '!B20:E20</xm:f>
              <xm:sqref>G20</xm:sqref>
            </x14:sparkline>
          </x14:sparklines>
        </x14:sparklineGroup>
        <x14:sparklineGroup type="column" displayEmptyCellsAs="gap" high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'HISTORICO '!H15:K15</xm:f>
              <xm:sqref>L15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2013</vt:lpstr>
      <vt:lpstr>2014</vt:lpstr>
      <vt:lpstr>2015</vt:lpstr>
      <vt:lpstr>2016</vt:lpstr>
      <vt:lpstr>2017</vt:lpstr>
      <vt:lpstr>HISTORICO CPS</vt:lpstr>
      <vt:lpstr>HISTORICO TRAZIA</vt:lpstr>
      <vt:lpstr>HISTORICO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cps</dc:creator>
  <cp:lastModifiedBy>cps</cp:lastModifiedBy>
  <cp:lastPrinted>2015-11-01T19:37:32Z</cp:lastPrinted>
  <dcterms:created xsi:type="dcterms:W3CDTF">2015-10-31T12:14:28Z</dcterms:created>
  <dcterms:modified xsi:type="dcterms:W3CDTF">2018-12-17T08:32:23Z</dcterms:modified>
</cp:coreProperties>
</file>