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1530" windowWidth="11715" windowHeight="7080"/>
  </bookViews>
  <sheets>
    <sheet name="Hoja1" sheetId="2" r:id="rId1"/>
    <sheet name="prospecciones_con_encargo (1)" sheetId="1" r:id="rId2"/>
  </sheets>
  <calcPr calcId="145621"/>
</workbook>
</file>

<file path=xl/calcChain.xml><?xml version="1.0" encoding="utf-8"?>
<calcChain xmlns="http://schemas.openxmlformats.org/spreadsheetml/2006/main">
  <c r="S43" i="1" l="1"/>
  <c r="R43" i="1"/>
  <c r="Q43" i="1"/>
  <c r="P43" i="1"/>
  <c r="O43" i="1"/>
  <c r="D43" i="1"/>
  <c r="S414" i="1"/>
  <c r="R414" i="1"/>
  <c r="Q414" i="1"/>
  <c r="P414" i="1"/>
  <c r="O414" i="1"/>
  <c r="N414" i="1"/>
  <c r="M414" i="1"/>
  <c r="S413" i="1"/>
  <c r="R413" i="1"/>
  <c r="Q413" i="1"/>
  <c r="P413" i="1"/>
  <c r="O413" i="1"/>
  <c r="N413" i="1"/>
  <c r="M413" i="1"/>
  <c r="S412" i="1"/>
  <c r="R412" i="1"/>
  <c r="Q412" i="1"/>
  <c r="P412" i="1"/>
  <c r="O412" i="1"/>
  <c r="N412" i="1"/>
  <c r="M412" i="1"/>
  <c r="S411" i="1"/>
  <c r="R411" i="1"/>
  <c r="Q411" i="1"/>
  <c r="P411" i="1"/>
  <c r="O411" i="1"/>
  <c r="N411" i="1"/>
  <c r="M411" i="1"/>
  <c r="S410" i="1"/>
  <c r="R410" i="1"/>
  <c r="Q410" i="1"/>
  <c r="P410" i="1"/>
  <c r="O410" i="1"/>
  <c r="N410" i="1"/>
  <c r="M410" i="1"/>
  <c r="S409" i="1"/>
  <c r="R409" i="1"/>
  <c r="Q409" i="1"/>
  <c r="P409" i="1"/>
  <c r="O409" i="1"/>
  <c r="N409" i="1"/>
  <c r="M409" i="1"/>
  <c r="S408" i="1"/>
  <c r="R408" i="1"/>
  <c r="Q408" i="1"/>
  <c r="P408" i="1"/>
  <c r="O408" i="1"/>
  <c r="N408" i="1"/>
  <c r="M408" i="1"/>
  <c r="S407" i="1"/>
  <c r="R407" i="1"/>
  <c r="Q407" i="1"/>
  <c r="P407" i="1"/>
  <c r="O407" i="1"/>
  <c r="N407" i="1"/>
  <c r="M407" i="1"/>
  <c r="S406" i="1"/>
  <c r="R406" i="1"/>
  <c r="Q406" i="1"/>
  <c r="P406" i="1"/>
  <c r="O406" i="1"/>
  <c r="N406" i="1"/>
  <c r="M406" i="1"/>
  <c r="S405" i="1"/>
  <c r="R405" i="1"/>
  <c r="Q405" i="1"/>
  <c r="P405" i="1"/>
  <c r="O405" i="1"/>
  <c r="N405" i="1"/>
  <c r="M405" i="1"/>
  <c r="S404" i="1"/>
  <c r="R404" i="1"/>
  <c r="Q404" i="1"/>
  <c r="P404" i="1"/>
  <c r="O404" i="1"/>
  <c r="N404" i="1"/>
  <c r="M404" i="1"/>
  <c r="S403" i="1"/>
  <c r="R403" i="1"/>
  <c r="Q403" i="1"/>
  <c r="P403" i="1"/>
  <c r="O403" i="1"/>
  <c r="N403" i="1"/>
  <c r="M403" i="1"/>
  <c r="S402" i="1"/>
  <c r="R402" i="1"/>
  <c r="Q402" i="1"/>
  <c r="P402" i="1"/>
  <c r="O402" i="1"/>
  <c r="N402" i="1"/>
  <c r="M402" i="1"/>
  <c r="S401" i="1"/>
  <c r="R401" i="1"/>
  <c r="Q401" i="1"/>
  <c r="P401" i="1"/>
  <c r="O401" i="1"/>
  <c r="N401" i="1"/>
  <c r="M401" i="1"/>
  <c r="S400" i="1"/>
  <c r="R400" i="1"/>
  <c r="Q400" i="1"/>
  <c r="P400" i="1"/>
  <c r="O400" i="1"/>
  <c r="N400" i="1"/>
  <c r="M400" i="1"/>
  <c r="S399" i="1"/>
  <c r="R399" i="1"/>
  <c r="Q399" i="1"/>
  <c r="P399" i="1"/>
  <c r="O399" i="1"/>
  <c r="N399" i="1"/>
  <c r="M399" i="1"/>
  <c r="S398" i="1"/>
  <c r="R398" i="1"/>
  <c r="Q398" i="1"/>
  <c r="P398" i="1"/>
  <c r="O398" i="1"/>
  <c r="N398" i="1"/>
  <c r="M398" i="1"/>
  <c r="S397" i="1"/>
  <c r="R397" i="1"/>
  <c r="Q397" i="1"/>
  <c r="P397" i="1"/>
  <c r="O397" i="1"/>
  <c r="N397" i="1"/>
  <c r="M397" i="1"/>
  <c r="S396" i="1"/>
  <c r="R396" i="1"/>
  <c r="Q396" i="1"/>
  <c r="P396" i="1"/>
  <c r="O396" i="1"/>
  <c r="N396" i="1"/>
  <c r="M396" i="1"/>
  <c r="S395" i="1"/>
  <c r="R395" i="1"/>
  <c r="Q395" i="1"/>
  <c r="P395" i="1"/>
  <c r="O395" i="1"/>
  <c r="N395" i="1"/>
  <c r="M395" i="1"/>
  <c r="S394" i="1"/>
  <c r="R394" i="1"/>
  <c r="Q394" i="1"/>
  <c r="P394" i="1"/>
  <c r="O394" i="1"/>
  <c r="N394" i="1"/>
  <c r="M394" i="1"/>
  <c r="S393" i="1"/>
  <c r="R393" i="1"/>
  <c r="Q393" i="1"/>
  <c r="P393" i="1"/>
  <c r="O393" i="1"/>
  <c r="N393" i="1"/>
  <c r="M393" i="1"/>
  <c r="S392" i="1"/>
  <c r="R392" i="1"/>
  <c r="Q392" i="1"/>
  <c r="P392" i="1"/>
  <c r="O392" i="1"/>
  <c r="N392" i="1"/>
  <c r="M392" i="1"/>
  <c r="S391" i="1"/>
  <c r="R391" i="1"/>
  <c r="Q391" i="1"/>
  <c r="P391" i="1"/>
  <c r="O391" i="1"/>
  <c r="N391" i="1"/>
  <c r="M391" i="1"/>
  <c r="S390" i="1"/>
  <c r="R390" i="1"/>
  <c r="Q390" i="1"/>
  <c r="P390" i="1"/>
  <c r="O390" i="1"/>
  <c r="N390" i="1"/>
  <c r="M390" i="1"/>
  <c r="S389" i="1"/>
  <c r="R389" i="1"/>
  <c r="Q389" i="1"/>
  <c r="P389" i="1"/>
  <c r="O389" i="1"/>
  <c r="N389" i="1"/>
  <c r="M389" i="1"/>
  <c r="S388" i="1"/>
  <c r="R388" i="1"/>
  <c r="Q388" i="1"/>
  <c r="P388" i="1"/>
  <c r="O388" i="1"/>
  <c r="N388" i="1"/>
  <c r="M388" i="1"/>
  <c r="S387" i="1"/>
  <c r="R387" i="1"/>
  <c r="Q387" i="1"/>
  <c r="P387" i="1"/>
  <c r="O387" i="1"/>
  <c r="N387" i="1"/>
  <c r="M387" i="1"/>
  <c r="S386" i="1"/>
  <c r="R386" i="1"/>
  <c r="Q386" i="1"/>
  <c r="P386" i="1"/>
  <c r="O386" i="1"/>
  <c r="N386" i="1"/>
  <c r="M386" i="1"/>
  <c r="S385" i="1"/>
  <c r="R385" i="1"/>
  <c r="Q385" i="1"/>
  <c r="P385" i="1"/>
  <c r="O385" i="1"/>
  <c r="N385" i="1"/>
  <c r="M385" i="1"/>
  <c r="S384" i="1"/>
  <c r="R384" i="1"/>
  <c r="Q384" i="1"/>
  <c r="P384" i="1"/>
  <c r="O384" i="1"/>
  <c r="N384" i="1"/>
  <c r="M384" i="1"/>
  <c r="S383" i="1"/>
  <c r="R383" i="1"/>
  <c r="Q383" i="1"/>
  <c r="P383" i="1"/>
  <c r="O383" i="1"/>
  <c r="N383" i="1"/>
  <c r="M383" i="1"/>
  <c r="S382" i="1"/>
  <c r="R382" i="1"/>
  <c r="Q382" i="1"/>
  <c r="P382" i="1"/>
  <c r="O382" i="1"/>
  <c r="N382" i="1"/>
  <c r="M382" i="1"/>
  <c r="S381" i="1"/>
  <c r="R381" i="1"/>
  <c r="Q381" i="1"/>
  <c r="P381" i="1"/>
  <c r="O381" i="1"/>
  <c r="N381" i="1"/>
  <c r="M381" i="1"/>
  <c r="S380" i="1"/>
  <c r="R380" i="1"/>
  <c r="Q380" i="1"/>
  <c r="P380" i="1"/>
  <c r="O380" i="1"/>
  <c r="N380" i="1"/>
  <c r="M380" i="1"/>
  <c r="S379" i="1"/>
  <c r="R379" i="1"/>
  <c r="Q379" i="1"/>
  <c r="P379" i="1"/>
  <c r="O379" i="1"/>
  <c r="N379" i="1"/>
  <c r="M379" i="1"/>
  <c r="S378" i="1"/>
  <c r="R378" i="1"/>
  <c r="Q378" i="1"/>
  <c r="P378" i="1"/>
  <c r="O378" i="1"/>
  <c r="N378" i="1"/>
  <c r="M378" i="1"/>
  <c r="S377" i="1"/>
  <c r="R377" i="1"/>
  <c r="Q377" i="1"/>
  <c r="P377" i="1"/>
  <c r="O377" i="1"/>
  <c r="N377" i="1"/>
  <c r="M377" i="1"/>
  <c r="S376" i="1"/>
  <c r="R376" i="1"/>
  <c r="Q376" i="1"/>
  <c r="P376" i="1"/>
  <c r="O376" i="1"/>
  <c r="N376" i="1"/>
  <c r="M376" i="1"/>
  <c r="S375" i="1"/>
  <c r="R375" i="1"/>
  <c r="Q375" i="1"/>
  <c r="P375" i="1"/>
  <c r="O375" i="1"/>
  <c r="N375" i="1"/>
  <c r="M375" i="1"/>
  <c r="S374" i="1"/>
  <c r="R374" i="1"/>
  <c r="Q374" i="1"/>
  <c r="P374" i="1"/>
  <c r="O374" i="1"/>
  <c r="N374" i="1"/>
  <c r="M374" i="1"/>
  <c r="S373" i="1"/>
  <c r="R373" i="1"/>
  <c r="Q373" i="1"/>
  <c r="P373" i="1"/>
  <c r="O373" i="1"/>
  <c r="N373" i="1"/>
  <c r="M373" i="1"/>
  <c r="S372" i="1"/>
  <c r="R372" i="1"/>
  <c r="Q372" i="1"/>
  <c r="P372" i="1"/>
  <c r="O372" i="1"/>
  <c r="N372" i="1"/>
  <c r="M372" i="1"/>
  <c r="S371" i="1"/>
  <c r="R371" i="1"/>
  <c r="Q371" i="1"/>
  <c r="P371" i="1"/>
  <c r="O371" i="1"/>
  <c r="N371" i="1"/>
  <c r="M371" i="1"/>
  <c r="S370" i="1"/>
  <c r="R370" i="1"/>
  <c r="Q370" i="1"/>
  <c r="P370" i="1"/>
  <c r="O370" i="1"/>
  <c r="N370" i="1"/>
  <c r="M370" i="1"/>
  <c r="S369" i="1"/>
  <c r="R369" i="1"/>
  <c r="Q369" i="1"/>
  <c r="P369" i="1"/>
  <c r="O369" i="1"/>
  <c r="N369" i="1"/>
  <c r="M369" i="1"/>
  <c r="S368" i="1"/>
  <c r="R368" i="1"/>
  <c r="Q368" i="1"/>
  <c r="P368" i="1"/>
  <c r="O368" i="1"/>
  <c r="N368" i="1"/>
  <c r="M368" i="1"/>
  <c r="S367" i="1"/>
  <c r="R367" i="1"/>
  <c r="Q367" i="1"/>
  <c r="P367" i="1"/>
  <c r="O367" i="1"/>
  <c r="N367" i="1"/>
  <c r="M367" i="1"/>
  <c r="S366" i="1"/>
  <c r="R366" i="1"/>
  <c r="Q366" i="1"/>
  <c r="P366" i="1"/>
  <c r="O366" i="1"/>
  <c r="N366" i="1"/>
  <c r="M366" i="1"/>
  <c r="S365" i="1"/>
  <c r="R365" i="1"/>
  <c r="Q365" i="1"/>
  <c r="P365" i="1"/>
  <c r="O365" i="1"/>
  <c r="N365" i="1"/>
  <c r="M365" i="1"/>
  <c r="S364" i="1"/>
  <c r="R364" i="1"/>
  <c r="Q364" i="1"/>
  <c r="P364" i="1"/>
  <c r="O364" i="1"/>
  <c r="N364" i="1"/>
  <c r="M364" i="1"/>
  <c r="S363" i="1"/>
  <c r="R363" i="1"/>
  <c r="Q363" i="1"/>
  <c r="P363" i="1"/>
  <c r="O363" i="1"/>
  <c r="N363" i="1"/>
  <c r="M363" i="1"/>
  <c r="S362" i="1"/>
  <c r="R362" i="1"/>
  <c r="Q362" i="1"/>
  <c r="P362" i="1"/>
  <c r="O362" i="1"/>
  <c r="N362" i="1"/>
  <c r="M362" i="1"/>
  <c r="S361" i="1"/>
  <c r="R361" i="1"/>
  <c r="Q361" i="1"/>
  <c r="P361" i="1"/>
  <c r="O361" i="1"/>
  <c r="N361" i="1"/>
  <c r="M361" i="1"/>
  <c r="S360" i="1"/>
  <c r="R360" i="1"/>
  <c r="Q360" i="1"/>
  <c r="P360" i="1"/>
  <c r="O360" i="1"/>
  <c r="N360" i="1"/>
  <c r="M360" i="1"/>
  <c r="S359" i="1"/>
  <c r="R359" i="1"/>
  <c r="Q359" i="1"/>
  <c r="P359" i="1"/>
  <c r="O359" i="1"/>
  <c r="N359" i="1"/>
  <c r="M359" i="1"/>
  <c r="S358" i="1"/>
  <c r="R358" i="1"/>
  <c r="Q358" i="1"/>
  <c r="P358" i="1"/>
  <c r="O358" i="1"/>
  <c r="N358" i="1"/>
  <c r="M358" i="1"/>
  <c r="S357" i="1"/>
  <c r="R357" i="1"/>
  <c r="Q357" i="1"/>
  <c r="P357" i="1"/>
  <c r="O357" i="1"/>
  <c r="N357" i="1"/>
  <c r="M357" i="1"/>
  <c r="S356" i="1"/>
  <c r="R356" i="1"/>
  <c r="Q356" i="1"/>
  <c r="P356" i="1"/>
  <c r="O356" i="1"/>
  <c r="N356" i="1"/>
  <c r="M356" i="1"/>
  <c r="S355" i="1"/>
  <c r="R355" i="1"/>
  <c r="Q355" i="1"/>
  <c r="P355" i="1"/>
  <c r="O355" i="1"/>
  <c r="N355" i="1"/>
  <c r="M355" i="1"/>
  <c r="S354" i="1"/>
  <c r="R354" i="1"/>
  <c r="Q354" i="1"/>
  <c r="P354" i="1"/>
  <c r="O354" i="1"/>
  <c r="N354" i="1"/>
  <c r="M354" i="1"/>
  <c r="S353" i="1"/>
  <c r="R353" i="1"/>
  <c r="Q353" i="1"/>
  <c r="P353" i="1"/>
  <c r="O353" i="1"/>
  <c r="N353" i="1"/>
  <c r="M353" i="1"/>
  <c r="S352" i="1"/>
  <c r="R352" i="1"/>
  <c r="Q352" i="1"/>
  <c r="P352" i="1"/>
  <c r="O352" i="1"/>
  <c r="N352" i="1"/>
  <c r="M352" i="1"/>
  <c r="S351" i="1"/>
  <c r="R351" i="1"/>
  <c r="Q351" i="1"/>
  <c r="P351" i="1"/>
  <c r="O351" i="1"/>
  <c r="N351" i="1"/>
  <c r="M351" i="1"/>
  <c r="S350" i="1"/>
  <c r="R350" i="1"/>
  <c r="Q350" i="1"/>
  <c r="P350" i="1"/>
  <c r="O350" i="1"/>
  <c r="N350" i="1"/>
  <c r="M350" i="1"/>
  <c r="S349" i="1"/>
  <c r="R349" i="1"/>
  <c r="Q349" i="1"/>
  <c r="P349" i="1"/>
  <c r="O349" i="1"/>
  <c r="N349" i="1"/>
  <c r="M349" i="1"/>
  <c r="S348" i="1"/>
  <c r="R348" i="1"/>
  <c r="Q348" i="1"/>
  <c r="P348" i="1"/>
  <c r="O348" i="1"/>
  <c r="N348" i="1"/>
  <c r="M348" i="1"/>
  <c r="S347" i="1"/>
  <c r="R347" i="1"/>
  <c r="Q347" i="1"/>
  <c r="P347" i="1"/>
  <c r="O347" i="1"/>
  <c r="N347" i="1"/>
  <c r="M347" i="1"/>
  <c r="S346" i="1"/>
  <c r="R346" i="1"/>
  <c r="Q346" i="1"/>
  <c r="P346" i="1"/>
  <c r="O346" i="1"/>
  <c r="N346" i="1"/>
  <c r="M346" i="1"/>
  <c r="S345" i="1"/>
  <c r="R345" i="1"/>
  <c r="Q345" i="1"/>
  <c r="P345" i="1"/>
  <c r="O345" i="1"/>
  <c r="N345" i="1"/>
  <c r="M345" i="1"/>
  <c r="S344" i="1"/>
  <c r="R344" i="1"/>
  <c r="Q344" i="1"/>
  <c r="P344" i="1"/>
  <c r="O344" i="1"/>
  <c r="N344" i="1"/>
  <c r="M344" i="1"/>
  <c r="S343" i="1"/>
  <c r="R343" i="1"/>
  <c r="Q343" i="1"/>
  <c r="P343" i="1"/>
  <c r="O343" i="1"/>
  <c r="N343" i="1"/>
  <c r="M343" i="1"/>
  <c r="S342" i="1"/>
  <c r="R342" i="1"/>
  <c r="Q342" i="1"/>
  <c r="P342" i="1"/>
  <c r="O342" i="1"/>
  <c r="N342" i="1"/>
  <c r="M342" i="1"/>
  <c r="S341" i="1"/>
  <c r="R341" i="1"/>
  <c r="Q341" i="1"/>
  <c r="P341" i="1"/>
  <c r="O341" i="1"/>
  <c r="N341" i="1"/>
  <c r="M341" i="1"/>
  <c r="S340" i="1"/>
  <c r="R340" i="1"/>
  <c r="Q340" i="1"/>
  <c r="P340" i="1"/>
  <c r="O340" i="1"/>
  <c r="N340" i="1"/>
  <c r="M340" i="1"/>
  <c r="S339" i="1"/>
  <c r="R339" i="1"/>
  <c r="Q339" i="1"/>
  <c r="P339" i="1"/>
  <c r="O339" i="1"/>
  <c r="N339" i="1"/>
  <c r="M339" i="1"/>
  <c r="S338" i="1"/>
  <c r="R338" i="1"/>
  <c r="Q338" i="1"/>
  <c r="P338" i="1"/>
  <c r="O338" i="1"/>
  <c r="N338" i="1"/>
  <c r="M338" i="1"/>
  <c r="S337" i="1"/>
  <c r="R337" i="1"/>
  <c r="Q337" i="1"/>
  <c r="P337" i="1"/>
  <c r="O337" i="1"/>
  <c r="N337" i="1"/>
  <c r="M337" i="1"/>
  <c r="S336" i="1"/>
  <c r="R336" i="1"/>
  <c r="Q336" i="1"/>
  <c r="P336" i="1"/>
  <c r="O336" i="1"/>
  <c r="N336" i="1"/>
  <c r="M336" i="1"/>
  <c r="S335" i="1"/>
  <c r="R335" i="1"/>
  <c r="Q335" i="1"/>
  <c r="P335" i="1"/>
  <c r="O335" i="1"/>
  <c r="N335" i="1"/>
  <c r="M335" i="1"/>
  <c r="S334" i="1"/>
  <c r="R334" i="1"/>
  <c r="Q334" i="1"/>
  <c r="P334" i="1"/>
  <c r="O334" i="1"/>
  <c r="N334" i="1"/>
  <c r="M334" i="1"/>
  <c r="S333" i="1"/>
  <c r="R333" i="1"/>
  <c r="Q333" i="1"/>
  <c r="P333" i="1"/>
  <c r="O333" i="1"/>
  <c r="N333" i="1"/>
  <c r="M333" i="1"/>
  <c r="S332" i="1"/>
  <c r="R332" i="1"/>
  <c r="Q332" i="1"/>
  <c r="P332" i="1"/>
  <c r="O332" i="1"/>
  <c r="N332" i="1"/>
  <c r="M332" i="1"/>
  <c r="S331" i="1"/>
  <c r="R331" i="1"/>
  <c r="Q331" i="1"/>
  <c r="P331" i="1"/>
  <c r="O331" i="1"/>
  <c r="N331" i="1"/>
  <c r="M331" i="1"/>
  <c r="S330" i="1"/>
  <c r="R330" i="1"/>
  <c r="Q330" i="1"/>
  <c r="P330" i="1"/>
  <c r="O330" i="1"/>
  <c r="N330" i="1"/>
  <c r="M330" i="1"/>
  <c r="S329" i="1"/>
  <c r="R329" i="1"/>
  <c r="Q329" i="1"/>
  <c r="P329" i="1"/>
  <c r="O329" i="1"/>
  <c r="N329" i="1"/>
  <c r="M329" i="1"/>
  <c r="S328" i="1"/>
  <c r="R328" i="1"/>
  <c r="Q328" i="1"/>
  <c r="P328" i="1"/>
  <c r="O328" i="1"/>
  <c r="N328" i="1"/>
  <c r="M328" i="1"/>
  <c r="S327" i="1"/>
  <c r="R327" i="1"/>
  <c r="Q327" i="1"/>
  <c r="P327" i="1"/>
  <c r="O327" i="1"/>
  <c r="N327" i="1"/>
  <c r="M327" i="1"/>
  <c r="S326" i="1"/>
  <c r="R326" i="1"/>
  <c r="Q326" i="1"/>
  <c r="P326" i="1"/>
  <c r="O326" i="1"/>
  <c r="N326" i="1"/>
  <c r="M326" i="1"/>
  <c r="S325" i="1"/>
  <c r="R325" i="1"/>
  <c r="Q325" i="1"/>
  <c r="P325" i="1"/>
  <c r="O325" i="1"/>
  <c r="N325" i="1"/>
  <c r="M325" i="1"/>
  <c r="S324" i="1"/>
  <c r="R324" i="1"/>
  <c r="Q324" i="1"/>
  <c r="P324" i="1"/>
  <c r="O324" i="1"/>
  <c r="N324" i="1"/>
  <c r="M324" i="1"/>
  <c r="S323" i="1"/>
  <c r="R323" i="1"/>
  <c r="Q323" i="1"/>
  <c r="P323" i="1"/>
  <c r="O323" i="1"/>
  <c r="N323" i="1"/>
  <c r="M323" i="1"/>
  <c r="S322" i="1"/>
  <c r="R322" i="1"/>
  <c r="Q322" i="1"/>
  <c r="P322" i="1"/>
  <c r="O322" i="1"/>
  <c r="N322" i="1"/>
  <c r="M322" i="1"/>
  <c r="S321" i="1"/>
  <c r="R321" i="1"/>
  <c r="Q321" i="1"/>
  <c r="P321" i="1"/>
  <c r="O321" i="1"/>
  <c r="N321" i="1"/>
  <c r="M321" i="1"/>
  <c r="S320" i="1"/>
  <c r="R320" i="1"/>
  <c r="Q320" i="1"/>
  <c r="P320" i="1"/>
  <c r="O320" i="1"/>
  <c r="N320" i="1"/>
  <c r="M320" i="1"/>
  <c r="S319" i="1"/>
  <c r="R319" i="1"/>
  <c r="Q319" i="1"/>
  <c r="P319" i="1"/>
  <c r="O319" i="1"/>
  <c r="N319" i="1"/>
  <c r="M319" i="1"/>
  <c r="S318" i="1"/>
  <c r="R318" i="1"/>
  <c r="Q318" i="1"/>
  <c r="P318" i="1"/>
  <c r="O318" i="1"/>
  <c r="N318" i="1"/>
  <c r="M318" i="1"/>
  <c r="S317" i="1"/>
  <c r="R317" i="1"/>
  <c r="Q317" i="1"/>
  <c r="P317" i="1"/>
  <c r="O317" i="1"/>
  <c r="N317" i="1"/>
  <c r="M317" i="1"/>
  <c r="S316" i="1"/>
  <c r="R316" i="1"/>
  <c r="Q316" i="1"/>
  <c r="P316" i="1"/>
  <c r="O316" i="1"/>
  <c r="N316" i="1"/>
  <c r="M316" i="1"/>
  <c r="S315" i="1"/>
  <c r="R315" i="1"/>
  <c r="Q315" i="1"/>
  <c r="P315" i="1"/>
  <c r="O315" i="1"/>
  <c r="N315" i="1"/>
  <c r="M315" i="1"/>
  <c r="S314" i="1"/>
  <c r="R314" i="1"/>
  <c r="Q314" i="1"/>
  <c r="P314" i="1"/>
  <c r="O314" i="1"/>
  <c r="N314" i="1"/>
  <c r="M314" i="1"/>
  <c r="S313" i="1"/>
  <c r="R313" i="1"/>
  <c r="Q313" i="1"/>
  <c r="P313" i="1"/>
  <c r="O313" i="1"/>
  <c r="N313" i="1"/>
  <c r="M313" i="1"/>
  <c r="S312" i="1"/>
  <c r="R312" i="1"/>
  <c r="Q312" i="1"/>
  <c r="P312" i="1"/>
  <c r="O312" i="1"/>
  <c r="N312" i="1"/>
  <c r="M312" i="1"/>
  <c r="S311" i="1"/>
  <c r="R311" i="1"/>
  <c r="Q311" i="1"/>
  <c r="P311" i="1"/>
  <c r="O311" i="1"/>
  <c r="N311" i="1"/>
  <c r="M311" i="1"/>
  <c r="S310" i="1"/>
  <c r="R310" i="1"/>
  <c r="Q310" i="1"/>
  <c r="P310" i="1"/>
  <c r="O310" i="1"/>
  <c r="N310" i="1"/>
  <c r="M310" i="1"/>
  <c r="S309" i="1"/>
  <c r="R309" i="1"/>
  <c r="Q309" i="1"/>
  <c r="P309" i="1"/>
  <c r="O309" i="1"/>
  <c r="N309" i="1"/>
  <c r="M309" i="1"/>
  <c r="S308" i="1"/>
  <c r="R308" i="1"/>
  <c r="Q308" i="1"/>
  <c r="P308" i="1"/>
  <c r="O308" i="1"/>
  <c r="N308" i="1"/>
  <c r="M308" i="1"/>
  <c r="S307" i="1"/>
  <c r="R307" i="1"/>
  <c r="Q307" i="1"/>
  <c r="P307" i="1"/>
  <c r="O307" i="1"/>
  <c r="N307" i="1"/>
  <c r="M307" i="1"/>
  <c r="S306" i="1"/>
  <c r="R306" i="1"/>
  <c r="Q306" i="1"/>
  <c r="P306" i="1"/>
  <c r="O306" i="1"/>
  <c r="N306" i="1"/>
  <c r="M306" i="1"/>
  <c r="S305" i="1"/>
  <c r="R305" i="1"/>
  <c r="Q305" i="1"/>
  <c r="P305" i="1"/>
  <c r="O305" i="1"/>
  <c r="N305" i="1"/>
  <c r="M305" i="1"/>
  <c r="S304" i="1"/>
  <c r="R304" i="1"/>
  <c r="Q304" i="1"/>
  <c r="P304" i="1"/>
  <c r="O304" i="1"/>
  <c r="N304" i="1"/>
  <c r="M304" i="1"/>
  <c r="S303" i="1"/>
  <c r="R303" i="1"/>
  <c r="Q303" i="1"/>
  <c r="P303" i="1"/>
  <c r="O303" i="1"/>
  <c r="N303" i="1"/>
  <c r="M303" i="1"/>
  <c r="S302" i="1"/>
  <c r="R302" i="1"/>
  <c r="Q302" i="1"/>
  <c r="P302" i="1"/>
  <c r="O302" i="1"/>
  <c r="N302" i="1"/>
  <c r="M302" i="1"/>
  <c r="S301" i="1"/>
  <c r="R301" i="1"/>
  <c r="Q301" i="1"/>
  <c r="P301" i="1"/>
  <c r="O301" i="1"/>
  <c r="N301" i="1"/>
  <c r="M301" i="1"/>
  <c r="S300" i="1"/>
  <c r="R300" i="1"/>
  <c r="Q300" i="1"/>
  <c r="P300" i="1"/>
  <c r="O300" i="1"/>
  <c r="N300" i="1"/>
  <c r="M300" i="1"/>
  <c r="S299" i="1"/>
  <c r="R299" i="1"/>
  <c r="Q299" i="1"/>
  <c r="P299" i="1"/>
  <c r="O299" i="1"/>
  <c r="N299" i="1"/>
  <c r="M299" i="1"/>
  <c r="S298" i="1"/>
  <c r="R298" i="1"/>
  <c r="Q298" i="1"/>
  <c r="P298" i="1"/>
  <c r="O298" i="1"/>
  <c r="N298" i="1"/>
  <c r="M298" i="1"/>
  <c r="S297" i="1"/>
  <c r="R297" i="1"/>
  <c r="Q297" i="1"/>
  <c r="P297" i="1"/>
  <c r="O297" i="1"/>
  <c r="N297" i="1"/>
  <c r="M297" i="1"/>
  <c r="S296" i="1"/>
  <c r="R296" i="1"/>
  <c r="Q296" i="1"/>
  <c r="P296" i="1"/>
  <c r="O296" i="1"/>
  <c r="N296" i="1"/>
  <c r="M296" i="1"/>
  <c r="S295" i="1"/>
  <c r="R295" i="1"/>
  <c r="Q295" i="1"/>
  <c r="P295" i="1"/>
  <c r="O295" i="1"/>
  <c r="N295" i="1"/>
  <c r="M295" i="1"/>
  <c r="S294" i="1"/>
  <c r="R294" i="1"/>
  <c r="Q294" i="1"/>
  <c r="P294" i="1"/>
  <c r="O294" i="1"/>
  <c r="N294" i="1"/>
  <c r="M294" i="1"/>
  <c r="S293" i="1"/>
  <c r="R293" i="1"/>
  <c r="Q293" i="1"/>
  <c r="P293" i="1"/>
  <c r="O293" i="1"/>
  <c r="N293" i="1"/>
  <c r="M293" i="1"/>
  <c r="S292" i="1"/>
  <c r="R292" i="1"/>
  <c r="Q292" i="1"/>
  <c r="P292" i="1"/>
  <c r="O292" i="1"/>
  <c r="N292" i="1"/>
  <c r="M292" i="1"/>
  <c r="S291" i="1"/>
  <c r="R291" i="1"/>
  <c r="Q291" i="1"/>
  <c r="P291" i="1"/>
  <c r="O291" i="1"/>
  <c r="N291" i="1"/>
  <c r="M291" i="1"/>
  <c r="S290" i="1"/>
  <c r="R290" i="1"/>
  <c r="Q290" i="1"/>
  <c r="P290" i="1"/>
  <c r="O290" i="1"/>
  <c r="N290" i="1"/>
  <c r="M290" i="1"/>
  <c r="S289" i="1"/>
  <c r="R289" i="1"/>
  <c r="Q289" i="1"/>
  <c r="P289" i="1"/>
  <c r="O289" i="1"/>
  <c r="N289" i="1"/>
  <c r="M289" i="1"/>
  <c r="S288" i="1"/>
  <c r="R288" i="1"/>
  <c r="Q288" i="1"/>
  <c r="P288" i="1"/>
  <c r="O288" i="1"/>
  <c r="N288" i="1"/>
  <c r="M288" i="1"/>
  <c r="S287" i="1"/>
  <c r="R287" i="1"/>
  <c r="Q287" i="1"/>
  <c r="P287" i="1"/>
  <c r="O287" i="1"/>
  <c r="N287" i="1"/>
  <c r="M287" i="1"/>
  <c r="S286" i="1"/>
  <c r="R286" i="1"/>
  <c r="Q286" i="1"/>
  <c r="P286" i="1"/>
  <c r="O286" i="1"/>
  <c r="N286" i="1"/>
  <c r="M286" i="1"/>
  <c r="S285" i="1"/>
  <c r="R285" i="1"/>
  <c r="Q285" i="1"/>
  <c r="P285" i="1"/>
  <c r="O285" i="1"/>
  <c r="N285" i="1"/>
  <c r="M285" i="1"/>
  <c r="S284" i="1"/>
  <c r="R284" i="1"/>
  <c r="Q284" i="1"/>
  <c r="P284" i="1"/>
  <c r="O284" i="1"/>
  <c r="N284" i="1"/>
  <c r="M284" i="1"/>
  <c r="S283" i="1"/>
  <c r="R283" i="1"/>
  <c r="Q283" i="1"/>
  <c r="P283" i="1"/>
  <c r="O283" i="1"/>
  <c r="N283" i="1"/>
  <c r="M283" i="1"/>
  <c r="S282" i="1"/>
  <c r="R282" i="1"/>
  <c r="Q282" i="1"/>
  <c r="P282" i="1"/>
  <c r="O282" i="1"/>
  <c r="N282" i="1"/>
  <c r="M282" i="1"/>
  <c r="S281" i="1"/>
  <c r="R281" i="1"/>
  <c r="Q281" i="1"/>
  <c r="P281" i="1"/>
  <c r="O281" i="1"/>
  <c r="N281" i="1"/>
  <c r="M281" i="1"/>
  <c r="S280" i="1"/>
  <c r="R280" i="1"/>
  <c r="Q280" i="1"/>
  <c r="P280" i="1"/>
  <c r="O280" i="1"/>
  <c r="N280" i="1"/>
  <c r="M280" i="1"/>
  <c r="S279" i="1"/>
  <c r="R279" i="1"/>
  <c r="Q279" i="1"/>
  <c r="P279" i="1"/>
  <c r="O279" i="1"/>
  <c r="N279" i="1"/>
  <c r="M279" i="1"/>
  <c r="S278" i="1"/>
  <c r="R278" i="1"/>
  <c r="Q278" i="1"/>
  <c r="P278" i="1"/>
  <c r="O278" i="1"/>
  <c r="N278" i="1"/>
  <c r="M278" i="1"/>
  <c r="S277" i="1"/>
  <c r="R277" i="1"/>
  <c r="Q277" i="1"/>
  <c r="P277" i="1"/>
  <c r="O277" i="1"/>
  <c r="N277" i="1"/>
  <c r="M277" i="1"/>
  <c r="S276" i="1"/>
  <c r="R276" i="1"/>
  <c r="Q276" i="1"/>
  <c r="P276" i="1"/>
  <c r="O276" i="1"/>
  <c r="N276" i="1"/>
  <c r="M276" i="1"/>
  <c r="S275" i="1"/>
  <c r="R275" i="1"/>
  <c r="Q275" i="1"/>
  <c r="P275" i="1"/>
  <c r="O275" i="1"/>
  <c r="N275" i="1"/>
  <c r="M275" i="1"/>
  <c r="S274" i="1"/>
  <c r="R274" i="1"/>
  <c r="Q274" i="1"/>
  <c r="P274" i="1"/>
  <c r="O274" i="1"/>
  <c r="N274" i="1"/>
  <c r="M274" i="1"/>
  <c r="S273" i="1"/>
  <c r="R273" i="1"/>
  <c r="Q273" i="1"/>
  <c r="P273" i="1"/>
  <c r="O273" i="1"/>
  <c r="N273" i="1"/>
  <c r="M273" i="1"/>
  <c r="S272" i="1"/>
  <c r="R272" i="1"/>
  <c r="Q272" i="1"/>
  <c r="P272" i="1"/>
  <c r="O272" i="1"/>
  <c r="N272" i="1"/>
  <c r="M272" i="1"/>
  <c r="S271" i="1"/>
  <c r="R271" i="1"/>
  <c r="Q271" i="1"/>
  <c r="P271" i="1"/>
  <c r="O271" i="1"/>
  <c r="N271" i="1"/>
  <c r="M271" i="1"/>
  <c r="S270" i="1"/>
  <c r="R270" i="1"/>
  <c r="Q270" i="1"/>
  <c r="P270" i="1"/>
  <c r="O270" i="1"/>
  <c r="N270" i="1"/>
  <c r="M270" i="1"/>
  <c r="S269" i="1"/>
  <c r="R269" i="1"/>
  <c r="Q269" i="1"/>
  <c r="P269" i="1"/>
  <c r="O269" i="1"/>
  <c r="N269" i="1"/>
  <c r="M269" i="1"/>
  <c r="S268" i="1"/>
  <c r="R268" i="1"/>
  <c r="Q268" i="1"/>
  <c r="P268" i="1"/>
  <c r="O268" i="1"/>
  <c r="N268" i="1"/>
  <c r="M268" i="1"/>
  <c r="S267" i="1"/>
  <c r="R267" i="1"/>
  <c r="Q267" i="1"/>
  <c r="P267" i="1"/>
  <c r="O267" i="1"/>
  <c r="N267" i="1"/>
  <c r="M267" i="1"/>
  <c r="S266" i="1"/>
  <c r="R266" i="1"/>
  <c r="Q266" i="1"/>
  <c r="P266" i="1"/>
  <c r="O266" i="1"/>
  <c r="N266" i="1"/>
  <c r="M266" i="1"/>
  <c r="S265" i="1"/>
  <c r="R265" i="1"/>
  <c r="Q265" i="1"/>
  <c r="P265" i="1"/>
  <c r="O265" i="1"/>
  <c r="N265" i="1"/>
  <c r="M265" i="1"/>
  <c r="S264" i="1"/>
  <c r="R264" i="1"/>
  <c r="Q264" i="1"/>
  <c r="P264" i="1"/>
  <c r="O264" i="1"/>
  <c r="N264" i="1"/>
  <c r="M264" i="1"/>
  <c r="S263" i="1"/>
  <c r="R263" i="1"/>
  <c r="Q263" i="1"/>
  <c r="P263" i="1"/>
  <c r="O263" i="1"/>
  <c r="N263" i="1"/>
  <c r="M263" i="1"/>
  <c r="S262" i="1"/>
  <c r="R262" i="1"/>
  <c r="Q262" i="1"/>
  <c r="P262" i="1"/>
  <c r="O262" i="1"/>
  <c r="N262" i="1"/>
  <c r="M262" i="1"/>
  <c r="S261" i="1"/>
  <c r="R261" i="1"/>
  <c r="Q261" i="1"/>
  <c r="P261" i="1"/>
  <c r="O261" i="1"/>
  <c r="N261" i="1"/>
  <c r="M261" i="1"/>
  <c r="S260" i="1"/>
  <c r="R260" i="1"/>
  <c r="Q260" i="1"/>
  <c r="P260" i="1"/>
  <c r="O260" i="1"/>
  <c r="N260" i="1"/>
  <c r="M260" i="1"/>
  <c r="S259" i="1"/>
  <c r="R259" i="1"/>
  <c r="Q259" i="1"/>
  <c r="P259" i="1"/>
  <c r="O259" i="1"/>
  <c r="N259" i="1"/>
  <c r="M259" i="1"/>
  <c r="S258" i="1"/>
  <c r="R258" i="1"/>
  <c r="Q258" i="1"/>
  <c r="P258" i="1"/>
  <c r="O258" i="1"/>
  <c r="N258" i="1"/>
  <c r="M258" i="1"/>
  <c r="S257" i="1"/>
  <c r="R257" i="1"/>
  <c r="Q257" i="1"/>
  <c r="P257" i="1"/>
  <c r="O257" i="1"/>
  <c r="N257" i="1"/>
  <c r="M257" i="1"/>
  <c r="S256" i="1"/>
  <c r="R256" i="1"/>
  <c r="Q256" i="1"/>
  <c r="P256" i="1"/>
  <c r="O256" i="1"/>
  <c r="N256" i="1"/>
  <c r="M256" i="1"/>
  <c r="S255" i="1"/>
  <c r="R255" i="1"/>
  <c r="Q255" i="1"/>
  <c r="P255" i="1"/>
  <c r="O255" i="1"/>
  <c r="N255" i="1"/>
  <c r="M255" i="1"/>
  <c r="S254" i="1"/>
  <c r="R254" i="1"/>
  <c r="Q254" i="1"/>
  <c r="P254" i="1"/>
  <c r="O254" i="1"/>
  <c r="N254" i="1"/>
  <c r="M254" i="1"/>
  <c r="S253" i="1"/>
  <c r="R253" i="1"/>
  <c r="Q253" i="1"/>
  <c r="P253" i="1"/>
  <c r="O253" i="1"/>
  <c r="N253" i="1"/>
  <c r="M253" i="1"/>
  <c r="S252" i="1"/>
  <c r="R252" i="1"/>
  <c r="Q252" i="1"/>
  <c r="P252" i="1"/>
  <c r="O252" i="1"/>
  <c r="N252" i="1"/>
  <c r="M252" i="1"/>
  <c r="S251" i="1"/>
  <c r="R251" i="1"/>
  <c r="Q251" i="1"/>
  <c r="P251" i="1"/>
  <c r="O251" i="1"/>
  <c r="N251" i="1"/>
  <c r="M251" i="1"/>
  <c r="S250" i="1"/>
  <c r="R250" i="1"/>
  <c r="Q250" i="1"/>
  <c r="P250" i="1"/>
  <c r="O250" i="1"/>
  <c r="N250" i="1"/>
  <c r="M250" i="1"/>
  <c r="S249" i="1"/>
  <c r="R249" i="1"/>
  <c r="Q249" i="1"/>
  <c r="P249" i="1"/>
  <c r="O249" i="1"/>
  <c r="N249" i="1"/>
  <c r="M249" i="1"/>
  <c r="S248" i="1"/>
  <c r="R248" i="1"/>
  <c r="Q248" i="1"/>
  <c r="P248" i="1"/>
  <c r="O248" i="1"/>
  <c r="N248" i="1"/>
  <c r="M248" i="1"/>
  <c r="S247" i="1"/>
  <c r="R247" i="1"/>
  <c r="Q247" i="1"/>
  <c r="P247" i="1"/>
  <c r="O247" i="1"/>
  <c r="N247" i="1"/>
  <c r="M247" i="1"/>
  <c r="S246" i="1"/>
  <c r="R246" i="1"/>
  <c r="Q246" i="1"/>
  <c r="P246" i="1"/>
  <c r="O246" i="1"/>
  <c r="N246" i="1"/>
  <c r="M246" i="1"/>
  <c r="S245" i="1"/>
  <c r="R245" i="1"/>
  <c r="Q245" i="1"/>
  <c r="P245" i="1"/>
  <c r="O245" i="1"/>
  <c r="N245" i="1"/>
  <c r="M245" i="1"/>
  <c r="S244" i="1"/>
  <c r="R244" i="1"/>
  <c r="Q244" i="1"/>
  <c r="P244" i="1"/>
  <c r="O244" i="1"/>
  <c r="N244" i="1"/>
  <c r="M244" i="1"/>
  <c r="S243" i="1"/>
  <c r="R243" i="1"/>
  <c r="Q243" i="1"/>
  <c r="P243" i="1"/>
  <c r="O243" i="1"/>
  <c r="N243" i="1"/>
  <c r="M243" i="1"/>
  <c r="S242" i="1"/>
  <c r="R242" i="1"/>
  <c r="Q242" i="1"/>
  <c r="P242" i="1"/>
  <c r="O242" i="1"/>
  <c r="N242" i="1"/>
  <c r="M242" i="1"/>
  <c r="S241" i="1"/>
  <c r="R241" i="1"/>
  <c r="Q241" i="1"/>
  <c r="P241" i="1"/>
  <c r="O241" i="1"/>
  <c r="N241" i="1"/>
  <c r="M241" i="1"/>
  <c r="S240" i="1"/>
  <c r="R240" i="1"/>
  <c r="Q240" i="1"/>
  <c r="P240" i="1"/>
  <c r="O240" i="1"/>
  <c r="N240" i="1"/>
  <c r="M240" i="1"/>
  <c r="S239" i="1"/>
  <c r="R239" i="1"/>
  <c r="Q239" i="1"/>
  <c r="P239" i="1"/>
  <c r="O239" i="1"/>
  <c r="N239" i="1"/>
  <c r="M239" i="1"/>
  <c r="S238" i="1"/>
  <c r="R238" i="1"/>
  <c r="Q238" i="1"/>
  <c r="P238" i="1"/>
  <c r="O238" i="1"/>
  <c r="N238" i="1"/>
  <c r="M238" i="1"/>
  <c r="S237" i="1"/>
  <c r="R237" i="1"/>
  <c r="Q237" i="1"/>
  <c r="P237" i="1"/>
  <c r="O237" i="1"/>
  <c r="N237" i="1"/>
  <c r="M237" i="1"/>
  <c r="S236" i="1"/>
  <c r="R236" i="1"/>
  <c r="Q236" i="1"/>
  <c r="P236" i="1"/>
  <c r="O236" i="1"/>
  <c r="N236" i="1"/>
  <c r="M236" i="1"/>
  <c r="S235" i="1"/>
  <c r="R235" i="1"/>
  <c r="Q235" i="1"/>
  <c r="P235" i="1"/>
  <c r="O235" i="1"/>
  <c r="N235" i="1"/>
  <c r="M235" i="1"/>
  <c r="S234" i="1"/>
  <c r="R234" i="1"/>
  <c r="Q234" i="1"/>
  <c r="P234" i="1"/>
  <c r="O234" i="1"/>
  <c r="N234" i="1"/>
  <c r="M234" i="1"/>
  <c r="S233" i="1"/>
  <c r="R233" i="1"/>
  <c r="Q233" i="1"/>
  <c r="P233" i="1"/>
  <c r="O233" i="1"/>
  <c r="N233" i="1"/>
  <c r="M233" i="1"/>
  <c r="S232" i="1"/>
  <c r="R232" i="1"/>
  <c r="Q232" i="1"/>
  <c r="P232" i="1"/>
  <c r="O232" i="1"/>
  <c r="N232" i="1"/>
  <c r="M232" i="1"/>
  <c r="S231" i="1"/>
  <c r="R231" i="1"/>
  <c r="Q231" i="1"/>
  <c r="P231" i="1"/>
  <c r="O231" i="1"/>
  <c r="N231" i="1"/>
  <c r="M231" i="1"/>
  <c r="S230" i="1"/>
  <c r="R230" i="1"/>
  <c r="Q230" i="1"/>
  <c r="P230" i="1"/>
  <c r="O230" i="1"/>
  <c r="N230" i="1"/>
  <c r="M230" i="1"/>
  <c r="S229" i="1"/>
  <c r="R229" i="1"/>
  <c r="Q229" i="1"/>
  <c r="P229" i="1"/>
  <c r="O229" i="1"/>
  <c r="N229" i="1"/>
  <c r="M229" i="1"/>
  <c r="S228" i="1"/>
  <c r="R228" i="1"/>
  <c r="Q228" i="1"/>
  <c r="P228" i="1"/>
  <c r="O228" i="1"/>
  <c r="N228" i="1"/>
  <c r="M228" i="1"/>
  <c r="S227" i="1"/>
  <c r="R227" i="1"/>
  <c r="Q227" i="1"/>
  <c r="P227" i="1"/>
  <c r="O227" i="1"/>
  <c r="N227" i="1"/>
  <c r="M227" i="1"/>
  <c r="S226" i="1"/>
  <c r="R226" i="1"/>
  <c r="Q226" i="1"/>
  <c r="P226" i="1"/>
  <c r="O226" i="1"/>
  <c r="N226" i="1"/>
  <c r="M226" i="1"/>
  <c r="S225" i="1"/>
  <c r="R225" i="1"/>
  <c r="Q225" i="1"/>
  <c r="P225" i="1"/>
  <c r="O225" i="1"/>
  <c r="N225" i="1"/>
  <c r="M225" i="1"/>
  <c r="S224" i="1"/>
  <c r="R224" i="1"/>
  <c r="Q224" i="1"/>
  <c r="P224" i="1"/>
  <c r="O224" i="1"/>
  <c r="N224" i="1"/>
  <c r="M224" i="1"/>
  <c r="S223" i="1"/>
  <c r="R223" i="1"/>
  <c r="Q223" i="1"/>
  <c r="P223" i="1"/>
  <c r="O223" i="1"/>
  <c r="N223" i="1"/>
  <c r="M223" i="1"/>
  <c r="S222" i="1"/>
  <c r="R222" i="1"/>
  <c r="Q222" i="1"/>
  <c r="P222" i="1"/>
  <c r="O222" i="1"/>
  <c r="N222" i="1"/>
  <c r="M222" i="1"/>
  <c r="S221" i="1"/>
  <c r="R221" i="1"/>
  <c r="Q221" i="1"/>
  <c r="P221" i="1"/>
  <c r="O221" i="1"/>
  <c r="N221" i="1"/>
  <c r="M221" i="1"/>
  <c r="S220" i="1"/>
  <c r="R220" i="1"/>
  <c r="Q220" i="1"/>
  <c r="P220" i="1"/>
  <c r="O220" i="1"/>
  <c r="N220" i="1"/>
  <c r="M220" i="1"/>
  <c r="S219" i="1"/>
  <c r="R219" i="1"/>
  <c r="Q219" i="1"/>
  <c r="P219" i="1"/>
  <c r="O219" i="1"/>
  <c r="N219" i="1"/>
  <c r="M219" i="1"/>
  <c r="S218" i="1"/>
  <c r="R218" i="1"/>
  <c r="Q218" i="1"/>
  <c r="P218" i="1"/>
  <c r="O218" i="1"/>
  <c r="N218" i="1"/>
  <c r="M218" i="1"/>
  <c r="S217" i="1"/>
  <c r="R217" i="1"/>
  <c r="Q217" i="1"/>
  <c r="P217" i="1"/>
  <c r="O217" i="1"/>
  <c r="N217" i="1"/>
  <c r="M217" i="1"/>
  <c r="S216" i="1"/>
  <c r="R216" i="1"/>
  <c r="Q216" i="1"/>
  <c r="P216" i="1"/>
  <c r="O216" i="1"/>
  <c r="N216" i="1"/>
  <c r="M216" i="1"/>
  <c r="S215" i="1"/>
  <c r="R215" i="1"/>
  <c r="Q215" i="1"/>
  <c r="P215" i="1"/>
  <c r="O215" i="1"/>
  <c r="N215" i="1"/>
  <c r="M215" i="1"/>
  <c r="S214" i="1"/>
  <c r="R214" i="1"/>
  <c r="Q214" i="1"/>
  <c r="P214" i="1"/>
  <c r="O214" i="1"/>
  <c r="N214" i="1"/>
  <c r="M214" i="1"/>
  <c r="S213" i="1"/>
  <c r="R213" i="1"/>
  <c r="Q213" i="1"/>
  <c r="P213" i="1"/>
  <c r="O213" i="1"/>
  <c r="N213" i="1"/>
  <c r="M213" i="1"/>
  <c r="S212" i="1"/>
  <c r="R212" i="1"/>
  <c r="Q212" i="1"/>
  <c r="P212" i="1"/>
  <c r="O212" i="1"/>
  <c r="N212" i="1"/>
  <c r="M212" i="1"/>
  <c r="S211" i="1"/>
  <c r="R211" i="1"/>
  <c r="Q211" i="1"/>
  <c r="P211" i="1"/>
  <c r="O211" i="1"/>
  <c r="N211" i="1"/>
  <c r="M211" i="1"/>
  <c r="S210" i="1"/>
  <c r="R210" i="1"/>
  <c r="Q210" i="1"/>
  <c r="P210" i="1"/>
  <c r="O210" i="1"/>
  <c r="N210" i="1"/>
  <c r="M210" i="1"/>
  <c r="S209" i="1"/>
  <c r="R209" i="1"/>
  <c r="Q209" i="1"/>
  <c r="P209" i="1"/>
  <c r="O209" i="1"/>
  <c r="N209" i="1"/>
  <c r="M209" i="1"/>
  <c r="S208" i="1"/>
  <c r="R208" i="1"/>
  <c r="Q208" i="1"/>
  <c r="P208" i="1"/>
  <c r="O208" i="1"/>
  <c r="N208" i="1"/>
  <c r="M208" i="1"/>
  <c r="S207" i="1"/>
  <c r="R207" i="1"/>
  <c r="Q207" i="1"/>
  <c r="P207" i="1"/>
  <c r="O207" i="1"/>
  <c r="N207" i="1"/>
  <c r="M207" i="1"/>
  <c r="S206" i="1"/>
  <c r="R206" i="1"/>
  <c r="Q206" i="1"/>
  <c r="P206" i="1"/>
  <c r="O206" i="1"/>
  <c r="N206" i="1"/>
  <c r="M206" i="1"/>
  <c r="S205" i="1"/>
  <c r="R205" i="1"/>
  <c r="Q205" i="1"/>
  <c r="P205" i="1"/>
  <c r="O205" i="1"/>
  <c r="N205" i="1"/>
  <c r="M205" i="1"/>
  <c r="S204" i="1"/>
  <c r="R204" i="1"/>
  <c r="Q204" i="1"/>
  <c r="P204" i="1"/>
  <c r="O204" i="1"/>
  <c r="N204" i="1"/>
  <c r="M204" i="1"/>
  <c r="S203" i="1"/>
  <c r="R203" i="1"/>
  <c r="Q203" i="1"/>
  <c r="P203" i="1"/>
  <c r="O203" i="1"/>
  <c r="N203" i="1"/>
  <c r="M203" i="1"/>
  <c r="S202" i="1"/>
  <c r="R202" i="1"/>
  <c r="Q202" i="1"/>
  <c r="P202" i="1"/>
  <c r="O202" i="1"/>
  <c r="N202" i="1"/>
  <c r="M202" i="1"/>
  <c r="S201" i="1"/>
  <c r="R201" i="1"/>
  <c r="Q201" i="1"/>
  <c r="P201" i="1"/>
  <c r="O201" i="1"/>
  <c r="N201" i="1"/>
  <c r="M201" i="1"/>
  <c r="S200" i="1"/>
  <c r="R200" i="1"/>
  <c r="Q200" i="1"/>
  <c r="P200" i="1"/>
  <c r="O200" i="1"/>
  <c r="N200" i="1"/>
  <c r="M200" i="1"/>
  <c r="S199" i="1"/>
  <c r="R199" i="1"/>
  <c r="Q199" i="1"/>
  <c r="P199" i="1"/>
  <c r="O199" i="1"/>
  <c r="N199" i="1"/>
  <c r="M199" i="1"/>
  <c r="S198" i="1"/>
  <c r="R198" i="1"/>
  <c r="Q198" i="1"/>
  <c r="P198" i="1"/>
  <c r="O198" i="1"/>
  <c r="N198" i="1"/>
  <c r="M198" i="1"/>
  <c r="S197" i="1"/>
  <c r="R197" i="1"/>
  <c r="Q197" i="1"/>
  <c r="P197" i="1"/>
  <c r="O197" i="1"/>
  <c r="N197" i="1"/>
  <c r="M197" i="1"/>
  <c r="S196" i="1"/>
  <c r="R196" i="1"/>
  <c r="Q196" i="1"/>
  <c r="P196" i="1"/>
  <c r="O196" i="1"/>
  <c r="N196" i="1"/>
  <c r="M196" i="1"/>
  <c r="S195" i="1"/>
  <c r="R195" i="1"/>
  <c r="Q195" i="1"/>
  <c r="P195" i="1"/>
  <c r="O195" i="1"/>
  <c r="N195" i="1"/>
  <c r="M195" i="1"/>
  <c r="S194" i="1"/>
  <c r="R194" i="1"/>
  <c r="Q194" i="1"/>
  <c r="P194" i="1"/>
  <c r="O194" i="1"/>
  <c r="N194" i="1"/>
  <c r="M194" i="1"/>
  <c r="S193" i="1"/>
  <c r="R193" i="1"/>
  <c r="Q193" i="1"/>
  <c r="P193" i="1"/>
  <c r="O193" i="1"/>
  <c r="N193" i="1"/>
  <c r="M193" i="1"/>
  <c r="S192" i="1"/>
  <c r="R192" i="1"/>
  <c r="Q192" i="1"/>
  <c r="P192" i="1"/>
  <c r="O192" i="1"/>
  <c r="N192" i="1"/>
  <c r="M192" i="1"/>
  <c r="S191" i="1"/>
  <c r="R191" i="1"/>
  <c r="Q191" i="1"/>
  <c r="P191" i="1"/>
  <c r="O191" i="1"/>
  <c r="N191" i="1"/>
  <c r="M191" i="1"/>
  <c r="S190" i="1"/>
  <c r="R190" i="1"/>
  <c r="Q190" i="1"/>
  <c r="P190" i="1"/>
  <c r="O190" i="1"/>
  <c r="N190" i="1"/>
  <c r="M190" i="1"/>
  <c r="S189" i="1"/>
  <c r="R189" i="1"/>
  <c r="Q189" i="1"/>
  <c r="P189" i="1"/>
  <c r="O189" i="1"/>
  <c r="N189" i="1"/>
  <c r="M189" i="1"/>
  <c r="S188" i="1"/>
  <c r="R188" i="1"/>
  <c r="Q188" i="1"/>
  <c r="P188" i="1"/>
  <c r="O188" i="1"/>
  <c r="N188" i="1"/>
  <c r="M188" i="1"/>
  <c r="S187" i="1"/>
  <c r="R187" i="1"/>
  <c r="Q187" i="1"/>
  <c r="P187" i="1"/>
  <c r="O187" i="1"/>
  <c r="N187" i="1"/>
  <c r="M187" i="1"/>
  <c r="S186" i="1"/>
  <c r="R186" i="1"/>
  <c r="Q186" i="1"/>
  <c r="P186" i="1"/>
  <c r="O186" i="1"/>
  <c r="N186" i="1"/>
  <c r="M186" i="1"/>
  <c r="S185" i="1"/>
  <c r="R185" i="1"/>
  <c r="Q185" i="1"/>
  <c r="P185" i="1"/>
  <c r="O185" i="1"/>
  <c r="N185" i="1"/>
  <c r="M185" i="1"/>
  <c r="S184" i="1"/>
  <c r="R184" i="1"/>
  <c r="Q184" i="1"/>
  <c r="P184" i="1"/>
  <c r="O184" i="1"/>
  <c r="N184" i="1"/>
  <c r="M184" i="1"/>
  <c r="S183" i="1"/>
  <c r="R183" i="1"/>
  <c r="Q183" i="1"/>
  <c r="P183" i="1"/>
  <c r="O183" i="1"/>
  <c r="N183" i="1"/>
  <c r="M183" i="1"/>
  <c r="S182" i="1"/>
  <c r="R182" i="1"/>
  <c r="Q182" i="1"/>
  <c r="P182" i="1"/>
  <c r="O182" i="1"/>
  <c r="N182" i="1"/>
  <c r="M182" i="1"/>
  <c r="S181" i="1"/>
  <c r="R181" i="1"/>
  <c r="Q181" i="1"/>
  <c r="P181" i="1"/>
  <c r="O181" i="1"/>
  <c r="N181" i="1"/>
  <c r="M181" i="1"/>
  <c r="S180" i="1"/>
  <c r="R180" i="1"/>
  <c r="Q180" i="1"/>
  <c r="P180" i="1"/>
  <c r="O180" i="1"/>
  <c r="N180" i="1"/>
  <c r="M180" i="1"/>
  <c r="S179" i="1"/>
  <c r="R179" i="1"/>
  <c r="Q179" i="1"/>
  <c r="P179" i="1"/>
  <c r="O179" i="1"/>
  <c r="N179" i="1"/>
  <c r="M179" i="1"/>
  <c r="S178" i="1"/>
  <c r="R178" i="1"/>
  <c r="Q178" i="1"/>
  <c r="P178" i="1"/>
  <c r="O178" i="1"/>
  <c r="N178" i="1"/>
  <c r="M178" i="1"/>
  <c r="S177" i="1"/>
  <c r="R177" i="1"/>
  <c r="Q177" i="1"/>
  <c r="P177" i="1"/>
  <c r="O177" i="1"/>
  <c r="N177" i="1"/>
  <c r="M177" i="1"/>
  <c r="S176" i="1"/>
  <c r="R176" i="1"/>
  <c r="Q176" i="1"/>
  <c r="P176" i="1"/>
  <c r="O176" i="1"/>
  <c r="N176" i="1"/>
  <c r="M176" i="1"/>
  <c r="S175" i="1"/>
  <c r="R175" i="1"/>
  <c r="Q175" i="1"/>
  <c r="P175" i="1"/>
  <c r="O175" i="1"/>
  <c r="N175" i="1"/>
  <c r="M175" i="1"/>
  <c r="S174" i="1"/>
  <c r="R174" i="1"/>
  <c r="Q174" i="1"/>
  <c r="P174" i="1"/>
  <c r="O174" i="1"/>
  <c r="N174" i="1"/>
  <c r="M174" i="1"/>
  <c r="S173" i="1"/>
  <c r="R173" i="1"/>
  <c r="Q173" i="1"/>
  <c r="P173" i="1"/>
  <c r="O173" i="1"/>
  <c r="N173" i="1"/>
  <c r="M173" i="1"/>
  <c r="S172" i="1"/>
  <c r="R172" i="1"/>
  <c r="Q172" i="1"/>
  <c r="P172" i="1"/>
  <c r="O172" i="1"/>
  <c r="N172" i="1"/>
  <c r="M172" i="1"/>
  <c r="S171" i="1"/>
  <c r="R171" i="1"/>
  <c r="Q171" i="1"/>
  <c r="P171" i="1"/>
  <c r="O171" i="1"/>
  <c r="N171" i="1"/>
  <c r="M171" i="1"/>
  <c r="S170" i="1"/>
  <c r="R170" i="1"/>
  <c r="Q170" i="1"/>
  <c r="P170" i="1"/>
  <c r="O170" i="1"/>
  <c r="N170" i="1"/>
  <c r="M170" i="1"/>
  <c r="S169" i="1"/>
  <c r="R169" i="1"/>
  <c r="Q169" i="1"/>
  <c r="P169" i="1"/>
  <c r="O169" i="1"/>
  <c r="N169" i="1"/>
  <c r="M169" i="1"/>
  <c r="S168" i="1"/>
  <c r="R168" i="1"/>
  <c r="Q168" i="1"/>
  <c r="P168" i="1"/>
  <c r="O168" i="1"/>
  <c r="N168" i="1"/>
  <c r="M168" i="1"/>
  <c r="S167" i="1"/>
  <c r="R167" i="1"/>
  <c r="Q167" i="1"/>
  <c r="P167" i="1"/>
  <c r="O167" i="1"/>
  <c r="N167" i="1"/>
  <c r="M167" i="1"/>
  <c r="S166" i="1"/>
  <c r="R166" i="1"/>
  <c r="Q166" i="1"/>
  <c r="P166" i="1"/>
  <c r="O166" i="1"/>
  <c r="N166" i="1"/>
  <c r="M166" i="1"/>
  <c r="S165" i="1"/>
  <c r="R165" i="1"/>
  <c r="Q165" i="1"/>
  <c r="P165" i="1"/>
  <c r="O165" i="1"/>
  <c r="N165" i="1"/>
  <c r="M165" i="1"/>
  <c r="S164" i="1"/>
  <c r="R164" i="1"/>
  <c r="Q164" i="1"/>
  <c r="P164" i="1"/>
  <c r="O164" i="1"/>
  <c r="N164" i="1"/>
  <c r="M164" i="1"/>
  <c r="S163" i="1"/>
  <c r="R163" i="1"/>
  <c r="Q163" i="1"/>
  <c r="P163" i="1"/>
  <c r="O163" i="1"/>
  <c r="N163" i="1"/>
  <c r="M163" i="1"/>
  <c r="S162" i="1"/>
  <c r="R162" i="1"/>
  <c r="Q162" i="1"/>
  <c r="P162" i="1"/>
  <c r="O162" i="1"/>
  <c r="N162" i="1"/>
  <c r="M162" i="1"/>
  <c r="S161" i="1"/>
  <c r="R161" i="1"/>
  <c r="Q161" i="1"/>
  <c r="P161" i="1"/>
  <c r="O161" i="1"/>
  <c r="N161" i="1"/>
  <c r="M161" i="1"/>
  <c r="S160" i="1"/>
  <c r="R160" i="1"/>
  <c r="Q160" i="1"/>
  <c r="P160" i="1"/>
  <c r="O160" i="1"/>
  <c r="N160" i="1"/>
  <c r="M160" i="1"/>
  <c r="S159" i="1"/>
  <c r="R159" i="1"/>
  <c r="Q159" i="1"/>
  <c r="P159" i="1"/>
  <c r="O159" i="1"/>
  <c r="N159" i="1"/>
  <c r="M159" i="1"/>
  <c r="S158" i="1"/>
  <c r="R158" i="1"/>
  <c r="Q158" i="1"/>
  <c r="P158" i="1"/>
  <c r="O158" i="1"/>
  <c r="N158" i="1"/>
  <c r="M158" i="1"/>
  <c r="S157" i="1"/>
  <c r="R157" i="1"/>
  <c r="Q157" i="1"/>
  <c r="P157" i="1"/>
  <c r="O157" i="1"/>
  <c r="N157" i="1"/>
  <c r="M157" i="1"/>
  <c r="S156" i="1"/>
  <c r="R156" i="1"/>
  <c r="Q156" i="1"/>
  <c r="P156" i="1"/>
  <c r="O156" i="1"/>
  <c r="N156" i="1"/>
  <c r="M156" i="1"/>
  <c r="S155" i="1"/>
  <c r="R155" i="1"/>
  <c r="Q155" i="1"/>
  <c r="P155" i="1"/>
  <c r="O155" i="1"/>
  <c r="N155" i="1"/>
  <c r="M155" i="1"/>
  <c r="S154" i="1"/>
  <c r="R154" i="1"/>
  <c r="Q154" i="1"/>
  <c r="P154" i="1"/>
  <c r="O154" i="1"/>
  <c r="N154" i="1"/>
  <c r="M154" i="1"/>
  <c r="S153" i="1"/>
  <c r="R153" i="1"/>
  <c r="Q153" i="1"/>
  <c r="P153" i="1"/>
  <c r="O153" i="1"/>
  <c r="N153" i="1"/>
  <c r="M153" i="1"/>
  <c r="S152" i="1"/>
  <c r="R152" i="1"/>
  <c r="Q152" i="1"/>
  <c r="P152" i="1"/>
  <c r="O152" i="1"/>
  <c r="N152" i="1"/>
  <c r="M152" i="1"/>
  <c r="S151" i="1"/>
  <c r="R151" i="1"/>
  <c r="Q151" i="1"/>
  <c r="P151" i="1"/>
  <c r="O151" i="1"/>
  <c r="N151" i="1"/>
  <c r="M151" i="1"/>
  <c r="S150" i="1"/>
  <c r="R150" i="1"/>
  <c r="Q150" i="1"/>
  <c r="P150" i="1"/>
  <c r="O150" i="1"/>
  <c r="N150" i="1"/>
  <c r="M150" i="1"/>
  <c r="S149" i="1"/>
  <c r="R149" i="1"/>
  <c r="Q149" i="1"/>
  <c r="P149" i="1"/>
  <c r="O149" i="1"/>
  <c r="N149" i="1"/>
  <c r="M149" i="1"/>
  <c r="S148" i="1"/>
  <c r="R148" i="1"/>
  <c r="Q148" i="1"/>
  <c r="P148" i="1"/>
  <c r="O148" i="1"/>
  <c r="N148" i="1"/>
  <c r="M148" i="1"/>
  <c r="S147" i="1"/>
  <c r="R147" i="1"/>
  <c r="Q147" i="1"/>
  <c r="P147" i="1"/>
  <c r="O147" i="1"/>
  <c r="N147" i="1"/>
  <c r="M147" i="1"/>
  <c r="S146" i="1"/>
  <c r="R146" i="1"/>
  <c r="Q146" i="1"/>
  <c r="P146" i="1"/>
  <c r="O146" i="1"/>
  <c r="N146" i="1"/>
  <c r="M146" i="1"/>
  <c r="S145" i="1"/>
  <c r="R145" i="1"/>
  <c r="Q145" i="1"/>
  <c r="P145" i="1"/>
  <c r="O145" i="1"/>
  <c r="N145" i="1"/>
  <c r="M145" i="1"/>
  <c r="S144" i="1"/>
  <c r="R144" i="1"/>
  <c r="Q144" i="1"/>
  <c r="P144" i="1"/>
  <c r="O144" i="1"/>
  <c r="N144" i="1"/>
  <c r="M144" i="1"/>
  <c r="S143" i="1"/>
  <c r="R143" i="1"/>
  <c r="Q143" i="1"/>
  <c r="P143" i="1"/>
  <c r="O143" i="1"/>
  <c r="N143" i="1"/>
  <c r="M143" i="1"/>
  <c r="S142" i="1"/>
  <c r="R142" i="1"/>
  <c r="Q142" i="1"/>
  <c r="P142" i="1"/>
  <c r="O142" i="1"/>
  <c r="N142" i="1"/>
  <c r="M142" i="1"/>
  <c r="S141" i="1"/>
  <c r="R141" i="1"/>
  <c r="Q141" i="1"/>
  <c r="P141" i="1"/>
  <c r="O141" i="1"/>
  <c r="N141" i="1"/>
  <c r="M141" i="1"/>
  <c r="S140" i="1"/>
  <c r="R140" i="1"/>
  <c r="Q140" i="1"/>
  <c r="P140" i="1"/>
  <c r="O140" i="1"/>
  <c r="N140" i="1"/>
  <c r="M140" i="1"/>
  <c r="S139" i="1"/>
  <c r="R139" i="1"/>
  <c r="Q139" i="1"/>
  <c r="P139" i="1"/>
  <c r="O139" i="1"/>
  <c r="N139" i="1"/>
  <c r="M139" i="1"/>
  <c r="S138" i="1"/>
  <c r="R138" i="1"/>
  <c r="Q138" i="1"/>
  <c r="P138" i="1"/>
  <c r="O138" i="1"/>
  <c r="N138" i="1"/>
  <c r="M138" i="1"/>
  <c r="S137" i="1"/>
  <c r="R137" i="1"/>
  <c r="Q137" i="1"/>
  <c r="P137" i="1"/>
  <c r="O137" i="1"/>
  <c r="N137" i="1"/>
  <c r="M137" i="1"/>
  <c r="S136" i="1"/>
  <c r="R136" i="1"/>
  <c r="Q136" i="1"/>
  <c r="P136" i="1"/>
  <c r="O136" i="1"/>
  <c r="N136" i="1"/>
  <c r="M136" i="1"/>
  <c r="S135" i="1"/>
  <c r="R135" i="1"/>
  <c r="Q135" i="1"/>
  <c r="P135" i="1"/>
  <c r="O135" i="1"/>
  <c r="N135" i="1"/>
  <c r="M135" i="1"/>
  <c r="S134" i="1"/>
  <c r="R134" i="1"/>
  <c r="Q134" i="1"/>
  <c r="P134" i="1"/>
  <c r="O134" i="1"/>
  <c r="N134" i="1"/>
  <c r="M134" i="1"/>
  <c r="S133" i="1"/>
  <c r="R133" i="1"/>
  <c r="Q133" i="1"/>
  <c r="P133" i="1"/>
  <c r="O133" i="1"/>
  <c r="N133" i="1"/>
  <c r="M133" i="1"/>
  <c r="S132" i="1"/>
  <c r="R132" i="1"/>
  <c r="Q132" i="1"/>
  <c r="P132" i="1"/>
  <c r="O132" i="1"/>
  <c r="N132" i="1"/>
  <c r="M132" i="1"/>
  <c r="S131" i="1"/>
  <c r="R131" i="1"/>
  <c r="Q131" i="1"/>
  <c r="P131" i="1"/>
  <c r="O131" i="1"/>
  <c r="N131" i="1"/>
  <c r="M131" i="1"/>
  <c r="S130" i="1"/>
  <c r="R130" i="1"/>
  <c r="Q130" i="1"/>
  <c r="P130" i="1"/>
  <c r="O130" i="1"/>
  <c r="N130" i="1"/>
  <c r="M130" i="1"/>
  <c r="S129" i="1"/>
  <c r="R129" i="1"/>
  <c r="Q129" i="1"/>
  <c r="P129" i="1"/>
  <c r="O129" i="1"/>
  <c r="N129" i="1"/>
  <c r="M129" i="1"/>
  <c r="S128" i="1"/>
  <c r="R128" i="1"/>
  <c r="Q128" i="1"/>
  <c r="P128" i="1"/>
  <c r="O128" i="1"/>
  <c r="N128" i="1"/>
  <c r="M128" i="1"/>
  <c r="S127" i="1"/>
  <c r="R127" i="1"/>
  <c r="Q127" i="1"/>
  <c r="P127" i="1"/>
  <c r="O127" i="1"/>
  <c r="N127" i="1"/>
  <c r="M127" i="1"/>
  <c r="S126" i="1"/>
  <c r="R126" i="1"/>
  <c r="Q126" i="1"/>
  <c r="P126" i="1"/>
  <c r="O126" i="1"/>
  <c r="N126" i="1"/>
  <c r="M126" i="1"/>
  <c r="S125" i="1"/>
  <c r="R125" i="1"/>
  <c r="Q125" i="1"/>
  <c r="P125" i="1"/>
  <c r="O125" i="1"/>
  <c r="N125" i="1"/>
  <c r="M125" i="1"/>
  <c r="S124" i="1"/>
  <c r="R124" i="1"/>
  <c r="Q124" i="1"/>
  <c r="P124" i="1"/>
  <c r="O124" i="1"/>
  <c r="N124" i="1"/>
  <c r="M124" i="1"/>
  <c r="S123" i="1"/>
  <c r="R123" i="1"/>
  <c r="Q123" i="1"/>
  <c r="P123" i="1"/>
  <c r="O123" i="1"/>
  <c r="N123" i="1"/>
  <c r="M123" i="1"/>
  <c r="S122" i="1"/>
  <c r="R122" i="1"/>
  <c r="Q122" i="1"/>
  <c r="P122" i="1"/>
  <c r="O122" i="1"/>
  <c r="N122" i="1"/>
  <c r="M122" i="1"/>
  <c r="S121" i="1"/>
  <c r="R121" i="1"/>
  <c r="Q121" i="1"/>
  <c r="P121" i="1"/>
  <c r="O121" i="1"/>
  <c r="N121" i="1"/>
  <c r="M121" i="1"/>
  <c r="S120" i="1"/>
  <c r="R120" i="1"/>
  <c r="Q120" i="1"/>
  <c r="P120" i="1"/>
  <c r="O120" i="1"/>
  <c r="N120" i="1"/>
  <c r="M120" i="1"/>
  <c r="S119" i="1"/>
  <c r="R119" i="1"/>
  <c r="Q119" i="1"/>
  <c r="P119" i="1"/>
  <c r="O119" i="1"/>
  <c r="N119" i="1"/>
  <c r="M119" i="1"/>
  <c r="S118" i="1"/>
  <c r="R118" i="1"/>
  <c r="Q118" i="1"/>
  <c r="P118" i="1"/>
  <c r="O118" i="1"/>
  <c r="N118" i="1"/>
  <c r="M118" i="1"/>
  <c r="S117" i="1"/>
  <c r="R117" i="1"/>
  <c r="Q117" i="1"/>
  <c r="P117" i="1"/>
  <c r="O117" i="1"/>
  <c r="N117" i="1"/>
  <c r="M117" i="1"/>
  <c r="S116" i="1"/>
  <c r="R116" i="1"/>
  <c r="Q116" i="1"/>
  <c r="P116" i="1"/>
  <c r="O116" i="1"/>
  <c r="N116" i="1"/>
  <c r="M116" i="1"/>
  <c r="S115" i="1"/>
  <c r="R115" i="1"/>
  <c r="Q115" i="1"/>
  <c r="P115" i="1"/>
  <c r="O115" i="1"/>
  <c r="N115" i="1"/>
  <c r="M115" i="1"/>
  <c r="S114" i="1"/>
  <c r="R114" i="1"/>
  <c r="Q114" i="1"/>
  <c r="P114" i="1"/>
  <c r="O114" i="1"/>
  <c r="N114" i="1"/>
  <c r="M114" i="1"/>
  <c r="S113" i="1"/>
  <c r="R113" i="1"/>
  <c r="Q113" i="1"/>
  <c r="P113" i="1"/>
  <c r="O113" i="1"/>
  <c r="N113" i="1"/>
  <c r="M113" i="1"/>
  <c r="S112" i="1"/>
  <c r="R112" i="1"/>
  <c r="Q112" i="1"/>
  <c r="P112" i="1"/>
  <c r="O112" i="1"/>
  <c r="N112" i="1"/>
  <c r="M112" i="1"/>
  <c r="S111" i="1"/>
  <c r="R111" i="1"/>
  <c r="Q111" i="1"/>
  <c r="P111" i="1"/>
  <c r="O111" i="1"/>
  <c r="N111" i="1"/>
  <c r="M111" i="1"/>
  <c r="S110" i="1"/>
  <c r="R110" i="1"/>
  <c r="Q110" i="1"/>
  <c r="P110" i="1"/>
  <c r="O110" i="1"/>
  <c r="N110" i="1"/>
  <c r="M110" i="1"/>
  <c r="S109" i="1"/>
  <c r="R109" i="1"/>
  <c r="Q109" i="1"/>
  <c r="P109" i="1"/>
  <c r="O109" i="1"/>
  <c r="N109" i="1"/>
  <c r="M109" i="1"/>
  <c r="S108" i="1"/>
  <c r="R108" i="1"/>
  <c r="Q108" i="1"/>
  <c r="P108" i="1"/>
  <c r="O108" i="1"/>
  <c r="N108" i="1"/>
  <c r="M108" i="1"/>
  <c r="S107" i="1"/>
  <c r="R107" i="1"/>
  <c r="Q107" i="1"/>
  <c r="P107" i="1"/>
  <c r="O107" i="1"/>
  <c r="N107" i="1"/>
  <c r="M107" i="1"/>
  <c r="S106" i="1"/>
  <c r="R106" i="1"/>
  <c r="Q106" i="1"/>
  <c r="P106" i="1"/>
  <c r="O106" i="1"/>
  <c r="N106" i="1"/>
  <c r="M106" i="1"/>
  <c r="S105" i="1"/>
  <c r="R105" i="1"/>
  <c r="Q105" i="1"/>
  <c r="P105" i="1"/>
  <c r="O105" i="1"/>
  <c r="N105" i="1"/>
  <c r="M105" i="1"/>
  <c r="S104" i="1"/>
  <c r="R104" i="1"/>
  <c r="Q104" i="1"/>
  <c r="P104" i="1"/>
  <c r="O104" i="1"/>
  <c r="N104" i="1"/>
  <c r="M104" i="1"/>
  <c r="S103" i="1"/>
  <c r="R103" i="1"/>
  <c r="Q103" i="1"/>
  <c r="P103" i="1"/>
  <c r="O103" i="1"/>
  <c r="N103" i="1"/>
  <c r="M103" i="1"/>
  <c r="S102" i="1"/>
  <c r="R102" i="1"/>
  <c r="Q102" i="1"/>
  <c r="P102" i="1"/>
  <c r="O102" i="1"/>
  <c r="N102" i="1"/>
  <c r="M102" i="1"/>
  <c r="S101" i="1"/>
  <c r="R101" i="1"/>
  <c r="Q101" i="1"/>
  <c r="P101" i="1"/>
  <c r="O101" i="1"/>
  <c r="N101" i="1"/>
  <c r="M101" i="1"/>
  <c r="S100" i="1"/>
  <c r="R100" i="1"/>
  <c r="Q100" i="1"/>
  <c r="P100" i="1"/>
  <c r="O100" i="1"/>
  <c r="N100" i="1"/>
  <c r="M100" i="1"/>
  <c r="S99" i="1"/>
  <c r="R99" i="1"/>
  <c r="Q99" i="1"/>
  <c r="P99" i="1"/>
  <c r="O99" i="1"/>
  <c r="N99" i="1"/>
  <c r="M99" i="1"/>
  <c r="S98" i="1"/>
  <c r="R98" i="1"/>
  <c r="Q98" i="1"/>
  <c r="P98" i="1"/>
  <c r="O98" i="1"/>
  <c r="N98" i="1"/>
  <c r="M98" i="1"/>
  <c r="S97" i="1"/>
  <c r="R97" i="1"/>
  <c r="Q97" i="1"/>
  <c r="P97" i="1"/>
  <c r="O97" i="1"/>
  <c r="N97" i="1"/>
  <c r="M97" i="1"/>
  <c r="S96" i="1"/>
  <c r="R96" i="1"/>
  <c r="Q96" i="1"/>
  <c r="P96" i="1"/>
  <c r="O96" i="1"/>
  <c r="N96" i="1"/>
  <c r="M96" i="1"/>
  <c r="S95" i="1"/>
  <c r="R95" i="1"/>
  <c r="Q95" i="1"/>
  <c r="P95" i="1"/>
  <c r="O95" i="1"/>
  <c r="N95" i="1"/>
  <c r="M95" i="1"/>
  <c r="S94" i="1"/>
  <c r="R94" i="1"/>
  <c r="Q94" i="1"/>
  <c r="P94" i="1"/>
  <c r="O94" i="1"/>
  <c r="N94" i="1"/>
  <c r="M94" i="1"/>
  <c r="S93" i="1"/>
  <c r="R93" i="1"/>
  <c r="Q93" i="1"/>
  <c r="P93" i="1"/>
  <c r="O93" i="1"/>
  <c r="N93" i="1"/>
  <c r="M93" i="1"/>
  <c r="S92" i="1"/>
  <c r="R92" i="1"/>
  <c r="Q92" i="1"/>
  <c r="P92" i="1"/>
  <c r="O92" i="1"/>
  <c r="N92" i="1"/>
  <c r="M92" i="1"/>
  <c r="S91" i="1"/>
  <c r="R91" i="1"/>
  <c r="Q91" i="1"/>
  <c r="P91" i="1"/>
  <c r="O91" i="1"/>
  <c r="N91" i="1"/>
  <c r="M91" i="1"/>
  <c r="S90" i="1"/>
  <c r="R90" i="1"/>
  <c r="Q90" i="1"/>
  <c r="P90" i="1"/>
  <c r="O90" i="1"/>
  <c r="N90" i="1"/>
  <c r="M90" i="1"/>
  <c r="S89" i="1"/>
  <c r="R89" i="1"/>
  <c r="Q89" i="1"/>
  <c r="P89" i="1"/>
  <c r="O89" i="1"/>
  <c r="N89" i="1"/>
  <c r="M89" i="1"/>
  <c r="S88" i="1"/>
  <c r="R88" i="1"/>
  <c r="Q88" i="1"/>
  <c r="P88" i="1"/>
  <c r="O88" i="1"/>
  <c r="N88" i="1"/>
  <c r="M88" i="1"/>
  <c r="S87" i="1"/>
  <c r="R87" i="1"/>
  <c r="Q87" i="1"/>
  <c r="P87" i="1"/>
  <c r="O87" i="1"/>
  <c r="N87" i="1"/>
  <c r="M87" i="1"/>
  <c r="S86" i="1"/>
  <c r="R86" i="1"/>
  <c r="Q86" i="1"/>
  <c r="P86" i="1"/>
  <c r="O86" i="1"/>
  <c r="N86" i="1"/>
  <c r="M86" i="1"/>
  <c r="S85" i="1"/>
  <c r="R85" i="1"/>
  <c r="Q85" i="1"/>
  <c r="P85" i="1"/>
  <c r="O85" i="1"/>
  <c r="N85" i="1"/>
  <c r="M85" i="1"/>
  <c r="S84" i="1"/>
  <c r="R84" i="1"/>
  <c r="Q84" i="1"/>
  <c r="P84" i="1"/>
  <c r="O84" i="1"/>
  <c r="N84" i="1"/>
  <c r="M84" i="1"/>
  <c r="S83" i="1"/>
  <c r="R83" i="1"/>
  <c r="Q83" i="1"/>
  <c r="P83" i="1"/>
  <c r="O83" i="1"/>
  <c r="N83" i="1"/>
  <c r="M83" i="1"/>
  <c r="S82" i="1"/>
  <c r="R82" i="1"/>
  <c r="Q82" i="1"/>
  <c r="P82" i="1"/>
  <c r="O82" i="1"/>
  <c r="N82" i="1"/>
  <c r="M82" i="1"/>
  <c r="S81" i="1"/>
  <c r="R81" i="1"/>
  <c r="Q81" i="1"/>
  <c r="P81" i="1"/>
  <c r="O81" i="1"/>
  <c r="N81" i="1"/>
  <c r="M81" i="1"/>
  <c r="S80" i="1"/>
  <c r="R80" i="1"/>
  <c r="Q80" i="1"/>
  <c r="P80" i="1"/>
  <c r="O80" i="1"/>
  <c r="N80" i="1"/>
  <c r="M80" i="1"/>
  <c r="S79" i="1"/>
  <c r="R79" i="1"/>
  <c r="Q79" i="1"/>
  <c r="P79" i="1"/>
  <c r="O79" i="1"/>
  <c r="N79" i="1"/>
  <c r="M79" i="1"/>
  <c r="S78" i="1"/>
  <c r="R78" i="1"/>
  <c r="Q78" i="1"/>
  <c r="P78" i="1"/>
  <c r="O78" i="1"/>
  <c r="N78" i="1"/>
  <c r="M78" i="1"/>
  <c r="S77" i="1"/>
  <c r="R77" i="1"/>
  <c r="Q77" i="1"/>
  <c r="P77" i="1"/>
  <c r="O77" i="1"/>
  <c r="N77" i="1"/>
  <c r="M77" i="1"/>
  <c r="S41" i="1"/>
  <c r="R41" i="1"/>
  <c r="Q41" i="1"/>
  <c r="P41" i="1"/>
  <c r="O41" i="1"/>
  <c r="N41" i="1"/>
  <c r="M41" i="1"/>
  <c r="S76" i="1"/>
  <c r="R76" i="1"/>
  <c r="Q76" i="1"/>
  <c r="P76" i="1"/>
  <c r="O76" i="1"/>
  <c r="N76" i="1"/>
  <c r="M76" i="1"/>
  <c r="S75" i="1"/>
  <c r="R75" i="1"/>
  <c r="Q75" i="1"/>
  <c r="P75" i="1"/>
  <c r="O75" i="1"/>
  <c r="N75" i="1"/>
  <c r="M75" i="1"/>
  <c r="S74" i="1"/>
  <c r="R74" i="1"/>
  <c r="Q74" i="1"/>
  <c r="P74" i="1"/>
  <c r="O74" i="1"/>
  <c r="N74" i="1"/>
  <c r="M74" i="1"/>
  <c r="S73" i="1"/>
  <c r="R73" i="1"/>
  <c r="Q73" i="1"/>
  <c r="P73" i="1"/>
  <c r="O73" i="1"/>
  <c r="N73" i="1"/>
  <c r="M73" i="1"/>
  <c r="S40" i="1"/>
  <c r="R40" i="1"/>
  <c r="Q40" i="1"/>
  <c r="P40" i="1"/>
  <c r="O40" i="1"/>
  <c r="N40" i="1"/>
  <c r="M40" i="1"/>
  <c r="S72" i="1"/>
  <c r="R72" i="1"/>
  <c r="Q72" i="1"/>
  <c r="P72" i="1"/>
  <c r="O72" i="1"/>
  <c r="N72" i="1"/>
  <c r="M72" i="1"/>
  <c r="S71" i="1"/>
  <c r="R71" i="1"/>
  <c r="Q71" i="1"/>
  <c r="P71" i="1"/>
  <c r="O71" i="1"/>
  <c r="N71" i="1"/>
  <c r="M71" i="1"/>
  <c r="S70" i="1"/>
  <c r="R70" i="1"/>
  <c r="Q70" i="1"/>
  <c r="P70" i="1"/>
  <c r="O70" i="1"/>
  <c r="N70" i="1"/>
  <c r="M70" i="1"/>
  <c r="S69" i="1"/>
  <c r="R69" i="1"/>
  <c r="Q69" i="1"/>
  <c r="P69" i="1"/>
  <c r="O69" i="1"/>
  <c r="N69" i="1"/>
  <c r="M69" i="1"/>
  <c r="S68" i="1"/>
  <c r="R68" i="1"/>
  <c r="Q68" i="1"/>
  <c r="P68" i="1"/>
  <c r="O68" i="1"/>
  <c r="N68" i="1"/>
  <c r="M68" i="1"/>
  <c r="S67" i="1"/>
  <c r="R67" i="1"/>
  <c r="Q67" i="1"/>
  <c r="P67" i="1"/>
  <c r="O67" i="1"/>
  <c r="N67" i="1"/>
  <c r="M67" i="1"/>
  <c r="S66" i="1"/>
  <c r="R66" i="1"/>
  <c r="Q66" i="1"/>
  <c r="P66" i="1"/>
  <c r="O66" i="1"/>
  <c r="N66" i="1"/>
  <c r="M66" i="1"/>
  <c r="S39" i="1"/>
  <c r="R39" i="1"/>
  <c r="Q39" i="1"/>
  <c r="P39" i="1"/>
  <c r="O39" i="1"/>
  <c r="N39" i="1"/>
  <c r="M39" i="1"/>
  <c r="S65" i="1"/>
  <c r="R65" i="1"/>
  <c r="Q65" i="1"/>
  <c r="P65" i="1"/>
  <c r="O65" i="1"/>
  <c r="N65" i="1"/>
  <c r="M65" i="1"/>
  <c r="S64" i="1"/>
  <c r="R64" i="1"/>
  <c r="Q64" i="1"/>
  <c r="P64" i="1"/>
  <c r="O64" i="1"/>
  <c r="N64" i="1"/>
  <c r="M64" i="1"/>
  <c r="S63" i="1"/>
  <c r="R63" i="1"/>
  <c r="Q63" i="1"/>
  <c r="P63" i="1"/>
  <c r="O63" i="1"/>
  <c r="N63" i="1"/>
  <c r="M63" i="1"/>
  <c r="S62" i="1"/>
  <c r="R62" i="1"/>
  <c r="Q62" i="1"/>
  <c r="P62" i="1"/>
  <c r="O62" i="1"/>
  <c r="N62" i="1"/>
  <c r="M62" i="1"/>
  <c r="S61" i="1"/>
  <c r="R61" i="1"/>
  <c r="Q61" i="1"/>
  <c r="P61" i="1"/>
  <c r="O61" i="1"/>
  <c r="N61" i="1"/>
  <c r="M61" i="1"/>
  <c r="S60" i="1"/>
  <c r="R60" i="1"/>
  <c r="Q60" i="1"/>
  <c r="P60" i="1"/>
  <c r="O60" i="1"/>
  <c r="N60" i="1"/>
  <c r="M60" i="1"/>
  <c r="S59" i="1"/>
  <c r="R59" i="1"/>
  <c r="Q59" i="1"/>
  <c r="P59" i="1"/>
  <c r="O59" i="1"/>
  <c r="N59" i="1"/>
  <c r="M59" i="1"/>
  <c r="S58" i="1"/>
  <c r="R58" i="1"/>
  <c r="Q58" i="1"/>
  <c r="P58" i="1"/>
  <c r="O58" i="1"/>
  <c r="N58" i="1"/>
  <c r="M58" i="1"/>
  <c r="S57" i="1"/>
  <c r="R57" i="1"/>
  <c r="Q57" i="1"/>
  <c r="P57" i="1"/>
  <c r="O57" i="1"/>
  <c r="N57" i="1"/>
  <c r="M57" i="1"/>
  <c r="S56" i="1"/>
  <c r="R56" i="1"/>
  <c r="Q56" i="1"/>
  <c r="P56" i="1"/>
  <c r="O56" i="1"/>
  <c r="N56" i="1"/>
  <c r="M56" i="1"/>
  <c r="S55" i="1"/>
  <c r="R55" i="1"/>
  <c r="Q55" i="1"/>
  <c r="P55" i="1"/>
  <c r="O55" i="1"/>
  <c r="N55" i="1"/>
  <c r="M55" i="1"/>
  <c r="S54" i="1"/>
  <c r="R54" i="1"/>
  <c r="Q54" i="1"/>
  <c r="P54" i="1"/>
  <c r="O54" i="1"/>
  <c r="N54" i="1"/>
  <c r="M54" i="1"/>
  <c r="S53" i="1"/>
  <c r="R53" i="1"/>
  <c r="Q53" i="1"/>
  <c r="P53" i="1"/>
  <c r="O53" i="1"/>
  <c r="N53" i="1"/>
  <c r="M53" i="1"/>
  <c r="S52" i="1"/>
  <c r="R52" i="1"/>
  <c r="Q52" i="1"/>
  <c r="P52" i="1"/>
  <c r="O52" i="1"/>
  <c r="N52" i="1"/>
  <c r="M52" i="1"/>
  <c r="S51" i="1"/>
  <c r="R51" i="1"/>
  <c r="Q51" i="1"/>
  <c r="P51" i="1"/>
  <c r="O51" i="1"/>
  <c r="N51" i="1"/>
  <c r="M51" i="1"/>
  <c r="S38" i="1"/>
  <c r="R38" i="1"/>
  <c r="Q38" i="1"/>
  <c r="P38" i="1"/>
  <c r="O38" i="1"/>
  <c r="N38" i="1"/>
  <c r="M38" i="1"/>
  <c r="S50" i="1"/>
  <c r="R50" i="1"/>
  <c r="Q50" i="1"/>
  <c r="P50" i="1"/>
  <c r="O50" i="1"/>
  <c r="N50" i="1"/>
  <c r="M50" i="1"/>
  <c r="S49" i="1"/>
  <c r="R49" i="1"/>
  <c r="Q49" i="1"/>
  <c r="P49" i="1"/>
  <c r="O49" i="1"/>
  <c r="N49" i="1"/>
  <c r="M49" i="1"/>
  <c r="S48" i="1"/>
  <c r="R48" i="1"/>
  <c r="Q48" i="1"/>
  <c r="P48" i="1"/>
  <c r="O48" i="1"/>
  <c r="N48" i="1"/>
  <c r="M48" i="1"/>
  <c r="S47" i="1"/>
  <c r="R47" i="1"/>
  <c r="Q47" i="1"/>
  <c r="P47" i="1"/>
  <c r="O47" i="1"/>
  <c r="N47" i="1"/>
  <c r="M47" i="1"/>
  <c r="S46" i="1"/>
  <c r="R46" i="1"/>
  <c r="Q46" i="1"/>
  <c r="P46" i="1"/>
  <c r="O46" i="1"/>
  <c r="N46" i="1"/>
  <c r="M46" i="1"/>
  <c r="S37" i="1"/>
  <c r="R37" i="1"/>
  <c r="Q37" i="1"/>
  <c r="P37" i="1"/>
  <c r="O37" i="1"/>
  <c r="N37" i="1"/>
  <c r="M37" i="1"/>
  <c r="S36" i="1"/>
  <c r="R36" i="1"/>
  <c r="Q36" i="1"/>
  <c r="P36" i="1"/>
  <c r="O36" i="1"/>
  <c r="N36" i="1"/>
  <c r="M36" i="1"/>
  <c r="S35" i="1"/>
  <c r="R35" i="1"/>
  <c r="Q35" i="1"/>
  <c r="P35" i="1"/>
  <c r="O35" i="1"/>
  <c r="N35" i="1"/>
  <c r="M35" i="1"/>
  <c r="S34" i="1"/>
  <c r="R34" i="1"/>
  <c r="Q34" i="1"/>
  <c r="P34" i="1"/>
  <c r="O34" i="1"/>
  <c r="N34" i="1"/>
  <c r="M34" i="1"/>
  <c r="S33" i="1"/>
  <c r="R33" i="1"/>
  <c r="Q33" i="1"/>
  <c r="P33" i="1"/>
  <c r="O33" i="1"/>
  <c r="N33" i="1"/>
  <c r="M33" i="1"/>
  <c r="S32" i="1"/>
  <c r="R32" i="1"/>
  <c r="Q32" i="1"/>
  <c r="P32" i="1"/>
  <c r="O32" i="1"/>
  <c r="N32" i="1"/>
  <c r="M32" i="1"/>
  <c r="S31" i="1"/>
  <c r="R31" i="1"/>
  <c r="Q31" i="1"/>
  <c r="P31" i="1"/>
  <c r="O31" i="1"/>
  <c r="N31" i="1"/>
  <c r="M31" i="1"/>
  <c r="S30" i="1"/>
  <c r="R30" i="1"/>
  <c r="Q30" i="1"/>
  <c r="P30" i="1"/>
  <c r="O30" i="1"/>
  <c r="N30" i="1"/>
  <c r="M30" i="1"/>
  <c r="S29" i="1"/>
  <c r="R29" i="1"/>
  <c r="Q29" i="1"/>
  <c r="P29" i="1"/>
  <c r="O29" i="1"/>
  <c r="N29" i="1"/>
  <c r="M29" i="1"/>
  <c r="S28" i="1"/>
  <c r="R28" i="1"/>
  <c r="Q28" i="1"/>
  <c r="P28" i="1"/>
  <c r="O28" i="1"/>
  <c r="N28" i="1"/>
  <c r="M28" i="1"/>
  <c r="S27" i="1"/>
  <c r="R27" i="1"/>
  <c r="Q27" i="1"/>
  <c r="P27" i="1"/>
  <c r="O27" i="1"/>
  <c r="N27" i="1"/>
  <c r="M27" i="1"/>
  <c r="S26" i="1"/>
  <c r="R26" i="1"/>
  <c r="Q26" i="1"/>
  <c r="P26" i="1"/>
  <c r="O26" i="1"/>
  <c r="N26" i="1"/>
  <c r="M26" i="1"/>
  <c r="S25" i="1"/>
  <c r="R25" i="1"/>
  <c r="Q25" i="1"/>
  <c r="P25" i="1"/>
  <c r="O25" i="1"/>
  <c r="N25" i="1"/>
  <c r="M25" i="1"/>
  <c r="S24" i="1"/>
  <c r="R24" i="1"/>
  <c r="Q24" i="1"/>
  <c r="P24" i="1"/>
  <c r="O24" i="1"/>
  <c r="N24" i="1"/>
  <c r="M24" i="1"/>
  <c r="S23" i="1"/>
  <c r="R23" i="1"/>
  <c r="Q23" i="1"/>
  <c r="P23" i="1"/>
  <c r="O23" i="1"/>
  <c r="N23" i="1"/>
  <c r="M23" i="1"/>
  <c r="S22" i="1"/>
  <c r="R22" i="1"/>
  <c r="Q22" i="1"/>
  <c r="P22" i="1"/>
  <c r="O22" i="1"/>
  <c r="N22" i="1"/>
  <c r="M22" i="1"/>
  <c r="S21" i="1"/>
  <c r="R21" i="1"/>
  <c r="Q21" i="1"/>
  <c r="P21" i="1"/>
  <c r="O21" i="1"/>
  <c r="N21" i="1"/>
  <c r="M21" i="1"/>
  <c r="S20" i="1"/>
  <c r="R20" i="1"/>
  <c r="Q20" i="1"/>
  <c r="P20" i="1"/>
  <c r="O20" i="1"/>
  <c r="N20" i="1"/>
  <c r="M20" i="1"/>
  <c r="S19" i="1"/>
  <c r="R19" i="1"/>
  <c r="Q19" i="1"/>
  <c r="P19" i="1"/>
  <c r="O19" i="1"/>
  <c r="N19" i="1"/>
  <c r="M19" i="1"/>
  <c r="S18" i="1"/>
  <c r="R18" i="1"/>
  <c r="Q18" i="1"/>
  <c r="P18" i="1"/>
  <c r="O18" i="1"/>
  <c r="N18" i="1"/>
  <c r="M18" i="1"/>
  <c r="S17" i="1"/>
  <c r="R17" i="1"/>
  <c r="Q17" i="1"/>
  <c r="P17" i="1"/>
  <c r="O17" i="1"/>
  <c r="N17" i="1"/>
  <c r="M17" i="1"/>
  <c r="S16" i="1"/>
  <c r="R16" i="1"/>
  <c r="Q16" i="1"/>
  <c r="P16" i="1"/>
  <c r="O16" i="1"/>
  <c r="N16" i="1"/>
  <c r="M16" i="1"/>
  <c r="S15" i="1"/>
  <c r="R15" i="1"/>
  <c r="Q15" i="1"/>
  <c r="P15" i="1"/>
  <c r="O15" i="1"/>
  <c r="N15" i="1"/>
  <c r="M15" i="1"/>
  <c r="S14" i="1"/>
  <c r="R14" i="1"/>
  <c r="Q14" i="1"/>
  <c r="P14" i="1"/>
  <c r="O14" i="1"/>
  <c r="N14" i="1"/>
  <c r="M14" i="1"/>
  <c r="S13" i="1"/>
  <c r="R13" i="1"/>
  <c r="Q13" i="1"/>
  <c r="P13" i="1"/>
  <c r="O13" i="1"/>
  <c r="N13" i="1"/>
  <c r="M13" i="1"/>
  <c r="S12" i="1"/>
  <c r="R12" i="1"/>
  <c r="Q12" i="1"/>
  <c r="P12" i="1"/>
  <c r="O12" i="1"/>
  <c r="N12" i="1"/>
  <c r="M12" i="1"/>
  <c r="S11" i="1"/>
  <c r="R11" i="1"/>
  <c r="Q11" i="1"/>
  <c r="P11" i="1"/>
  <c r="O11" i="1"/>
  <c r="N11" i="1"/>
  <c r="M11" i="1"/>
  <c r="S10" i="1"/>
  <c r="R10" i="1"/>
  <c r="Q10" i="1"/>
  <c r="P10" i="1"/>
  <c r="O10" i="1"/>
  <c r="N10" i="1"/>
  <c r="M10" i="1"/>
  <c r="S9" i="1"/>
  <c r="R9" i="1"/>
  <c r="Q9" i="1"/>
  <c r="P9" i="1"/>
  <c r="O9" i="1"/>
  <c r="N9" i="1"/>
  <c r="M9" i="1"/>
  <c r="S8" i="1"/>
  <c r="R8" i="1"/>
  <c r="Q8" i="1"/>
  <c r="P8" i="1"/>
  <c r="O8" i="1"/>
  <c r="N8" i="1"/>
  <c r="M8" i="1"/>
  <c r="S7" i="1"/>
  <c r="R7" i="1"/>
  <c r="Q7" i="1"/>
  <c r="P7" i="1"/>
  <c r="O7" i="1"/>
  <c r="N7" i="1"/>
  <c r="M7" i="1"/>
  <c r="S6" i="1"/>
  <c r="R6" i="1"/>
  <c r="Q6" i="1"/>
  <c r="P6" i="1"/>
  <c r="O6" i="1"/>
  <c r="N6" i="1"/>
  <c r="M6" i="1"/>
  <c r="S5" i="1"/>
  <c r="R5" i="1"/>
  <c r="Q5" i="1"/>
  <c r="P5" i="1"/>
  <c r="O5" i="1"/>
  <c r="N5" i="1"/>
  <c r="M5" i="1"/>
  <c r="S4" i="1"/>
  <c r="R4" i="1"/>
  <c r="Q4" i="1"/>
  <c r="P4" i="1"/>
  <c r="O4" i="1"/>
  <c r="N4" i="1"/>
  <c r="M4" i="1"/>
  <c r="S3" i="1"/>
  <c r="R3" i="1"/>
  <c r="Q3" i="1"/>
  <c r="P3" i="1"/>
  <c r="O3" i="1"/>
  <c r="N3" i="1"/>
  <c r="M3" i="1"/>
  <c r="S2" i="1"/>
  <c r="R2" i="1"/>
  <c r="Q2" i="1"/>
  <c r="P2" i="1"/>
  <c r="O2" i="1"/>
  <c r="N2" i="1"/>
  <c r="M2" i="1"/>
  <c r="L414" i="1"/>
  <c r="A414" i="1"/>
  <c r="D413" i="1"/>
  <c r="A413" i="1"/>
  <c r="D412" i="1"/>
  <c r="A412" i="1"/>
  <c r="D411" i="1"/>
  <c r="A411" i="1"/>
  <c r="D410" i="1"/>
  <c r="A410" i="1"/>
  <c r="L409" i="1"/>
  <c r="A409" i="1"/>
  <c r="D408" i="1"/>
  <c r="A408" i="1"/>
  <c r="D407" i="1"/>
  <c r="A407" i="1"/>
  <c r="D406" i="1"/>
  <c r="A406" i="1"/>
  <c r="L405" i="1"/>
  <c r="A405" i="1"/>
  <c r="L404" i="1"/>
  <c r="A404" i="1"/>
  <c r="L403" i="1"/>
  <c r="A403" i="1"/>
  <c r="D402" i="1"/>
  <c r="A402" i="1"/>
  <c r="D401" i="1"/>
  <c r="A401" i="1"/>
  <c r="D400" i="1"/>
  <c r="A400" i="1"/>
  <c r="D399" i="1"/>
  <c r="A399" i="1"/>
  <c r="D398" i="1"/>
  <c r="A398" i="1"/>
  <c r="D397" i="1"/>
  <c r="A397" i="1"/>
  <c r="D396" i="1"/>
  <c r="A396" i="1"/>
  <c r="D395" i="1"/>
  <c r="A395" i="1"/>
  <c r="L394" i="1"/>
  <c r="A394" i="1"/>
  <c r="D393" i="1"/>
  <c r="A393" i="1"/>
  <c r="D392" i="1"/>
  <c r="A392" i="1"/>
  <c r="D391" i="1"/>
  <c r="A391" i="1"/>
  <c r="D390" i="1"/>
  <c r="A390" i="1"/>
  <c r="D389" i="1"/>
  <c r="A389" i="1"/>
  <c r="D388" i="1"/>
  <c r="A388" i="1"/>
  <c r="D387" i="1"/>
  <c r="A387" i="1"/>
  <c r="D386" i="1"/>
  <c r="A386" i="1"/>
  <c r="L385" i="1"/>
  <c r="A385" i="1"/>
  <c r="D384" i="1"/>
  <c r="A384" i="1"/>
  <c r="D383" i="1"/>
  <c r="A383" i="1"/>
  <c r="D382" i="1"/>
  <c r="A382" i="1"/>
  <c r="D381" i="1"/>
  <c r="A381" i="1"/>
  <c r="A380" i="1"/>
  <c r="L379" i="1"/>
  <c r="A379" i="1"/>
  <c r="D378" i="1"/>
  <c r="A378" i="1"/>
  <c r="D377" i="1"/>
  <c r="A377" i="1"/>
  <c r="D376" i="1"/>
  <c r="A376" i="1"/>
  <c r="L375" i="1"/>
  <c r="A375" i="1"/>
  <c r="D374" i="1"/>
  <c r="A374" i="1"/>
  <c r="D373" i="1"/>
  <c r="A373" i="1"/>
  <c r="L372" i="1"/>
  <c r="A372" i="1"/>
  <c r="L371" i="1"/>
  <c r="A371" i="1"/>
  <c r="L370" i="1"/>
  <c r="A370" i="1"/>
  <c r="L369" i="1"/>
  <c r="A369" i="1"/>
  <c r="L368" i="1"/>
  <c r="A368" i="1"/>
  <c r="D367" i="1"/>
  <c r="A367" i="1"/>
  <c r="D366" i="1"/>
  <c r="A366" i="1"/>
  <c r="D365" i="1"/>
  <c r="A365" i="1"/>
  <c r="D364" i="1"/>
  <c r="A364" i="1"/>
  <c r="D363" i="1"/>
  <c r="A363" i="1"/>
  <c r="D362" i="1"/>
  <c r="A362" i="1"/>
  <c r="L361" i="1"/>
  <c r="A361" i="1"/>
  <c r="D360" i="1"/>
  <c r="A360" i="1"/>
  <c r="D359" i="1"/>
  <c r="A359" i="1"/>
  <c r="D358" i="1"/>
  <c r="A358" i="1"/>
  <c r="D357" i="1"/>
  <c r="A357" i="1"/>
  <c r="D356" i="1"/>
  <c r="A356" i="1"/>
  <c r="D355" i="1"/>
  <c r="A355" i="1"/>
  <c r="D354" i="1"/>
  <c r="A354" i="1"/>
  <c r="D353" i="1"/>
  <c r="A353" i="1"/>
  <c r="D352" i="1"/>
  <c r="A352" i="1"/>
  <c r="D351" i="1"/>
  <c r="A351" i="1"/>
  <c r="L350" i="1"/>
  <c r="A350" i="1"/>
  <c r="D349" i="1"/>
  <c r="A349" i="1"/>
  <c r="D348" i="1"/>
  <c r="A348" i="1"/>
  <c r="D347" i="1"/>
  <c r="A347" i="1"/>
  <c r="D346" i="1"/>
  <c r="A346" i="1"/>
  <c r="D345" i="1"/>
  <c r="A345" i="1"/>
  <c r="D344" i="1"/>
  <c r="A344" i="1"/>
  <c r="D343" i="1"/>
  <c r="A343" i="1"/>
  <c r="L342" i="1"/>
  <c r="A342" i="1"/>
  <c r="D341" i="1"/>
  <c r="A341" i="1"/>
  <c r="D340" i="1"/>
  <c r="A340" i="1"/>
  <c r="D339" i="1"/>
  <c r="A339" i="1"/>
  <c r="D338" i="1"/>
  <c r="A338" i="1"/>
  <c r="D337" i="1"/>
  <c r="A337" i="1"/>
  <c r="D336" i="1"/>
  <c r="A336" i="1"/>
  <c r="D335" i="1"/>
  <c r="A335" i="1"/>
  <c r="D334" i="1"/>
  <c r="A334" i="1"/>
  <c r="D333" i="1"/>
  <c r="A333" i="1"/>
  <c r="D332" i="1"/>
  <c r="A332" i="1"/>
  <c r="L331" i="1"/>
  <c r="A331" i="1"/>
  <c r="D330" i="1"/>
  <c r="A330" i="1"/>
  <c r="L329" i="1"/>
  <c r="A329" i="1"/>
  <c r="L328" i="1"/>
  <c r="A328" i="1"/>
  <c r="L327" i="1"/>
  <c r="A327" i="1"/>
  <c r="D326" i="1"/>
  <c r="A326" i="1"/>
  <c r="L325" i="1"/>
  <c r="A325" i="1"/>
  <c r="L324" i="1"/>
  <c r="A324" i="1"/>
  <c r="L323" i="1"/>
  <c r="A323" i="1"/>
  <c r="D322" i="1"/>
  <c r="A322" i="1"/>
  <c r="D321" i="1"/>
  <c r="A321" i="1"/>
  <c r="D320" i="1"/>
  <c r="A320" i="1"/>
  <c r="L319" i="1"/>
  <c r="A319" i="1"/>
  <c r="D318" i="1"/>
  <c r="A318" i="1"/>
  <c r="L317" i="1"/>
  <c r="A317" i="1"/>
  <c r="L316" i="1"/>
  <c r="A316" i="1"/>
  <c r="L315" i="1"/>
  <c r="A315" i="1"/>
  <c r="D314" i="1"/>
  <c r="A314" i="1"/>
  <c r="L313" i="1"/>
  <c r="A313" i="1"/>
  <c r="L312" i="1"/>
  <c r="A312" i="1"/>
  <c r="L311" i="1"/>
  <c r="A311" i="1"/>
  <c r="D310" i="1"/>
  <c r="A310" i="1"/>
  <c r="L309" i="1"/>
  <c r="A309" i="1"/>
  <c r="D308" i="1"/>
  <c r="A308" i="1"/>
  <c r="L307" i="1"/>
  <c r="A307" i="1"/>
  <c r="D306" i="1"/>
  <c r="A306" i="1"/>
  <c r="D305" i="1"/>
  <c r="A305" i="1"/>
  <c r="L304" i="1"/>
  <c r="A304" i="1"/>
  <c r="D303" i="1"/>
  <c r="A303" i="1"/>
  <c r="L302" i="1"/>
  <c r="A302" i="1"/>
  <c r="L301" i="1"/>
  <c r="A301" i="1"/>
  <c r="L300" i="1"/>
  <c r="A300" i="1"/>
  <c r="L299" i="1"/>
  <c r="A299" i="1"/>
  <c r="L298" i="1"/>
  <c r="A298" i="1"/>
  <c r="L297" i="1"/>
  <c r="A297" i="1"/>
  <c r="L296" i="1"/>
  <c r="A296" i="1"/>
  <c r="D295" i="1"/>
  <c r="A295" i="1"/>
  <c r="D294" i="1"/>
  <c r="A294" i="1"/>
  <c r="L293" i="1"/>
  <c r="A293" i="1"/>
  <c r="D292" i="1"/>
  <c r="A292" i="1"/>
  <c r="L291" i="1"/>
  <c r="A291" i="1"/>
  <c r="L290" i="1"/>
  <c r="A290" i="1"/>
  <c r="D289" i="1"/>
  <c r="A289" i="1"/>
  <c r="D288" i="1"/>
  <c r="A288" i="1"/>
  <c r="L287" i="1"/>
  <c r="A287" i="1"/>
  <c r="L286" i="1"/>
  <c r="A286" i="1"/>
  <c r="L285" i="1"/>
  <c r="A285" i="1"/>
  <c r="D284" i="1"/>
  <c r="A284" i="1"/>
  <c r="L283" i="1"/>
  <c r="A283" i="1"/>
  <c r="L282" i="1"/>
  <c r="A282" i="1"/>
  <c r="L281" i="1"/>
  <c r="A281" i="1"/>
  <c r="L280" i="1"/>
  <c r="A280" i="1"/>
  <c r="L279" i="1"/>
  <c r="A279" i="1"/>
  <c r="L278" i="1"/>
  <c r="A278" i="1"/>
  <c r="L277" i="1"/>
  <c r="A277" i="1"/>
  <c r="D276" i="1"/>
  <c r="A276" i="1"/>
  <c r="L275" i="1"/>
  <c r="A275" i="1"/>
  <c r="D274" i="1"/>
  <c r="A274" i="1"/>
  <c r="L273" i="1"/>
  <c r="A273" i="1"/>
  <c r="D272" i="1"/>
  <c r="A272" i="1"/>
  <c r="D271" i="1"/>
  <c r="A271" i="1"/>
  <c r="L270" i="1"/>
  <c r="A270" i="1"/>
  <c r="L269" i="1"/>
  <c r="A269" i="1"/>
  <c r="L268" i="1"/>
  <c r="A268" i="1"/>
  <c r="D267" i="1"/>
  <c r="A267" i="1"/>
  <c r="D266" i="1"/>
  <c r="A266" i="1"/>
  <c r="D265" i="1"/>
  <c r="A265" i="1"/>
  <c r="L264" i="1"/>
  <c r="A264" i="1"/>
  <c r="D263" i="1"/>
  <c r="A263" i="1"/>
  <c r="L262" i="1"/>
  <c r="A262" i="1"/>
  <c r="D261" i="1"/>
  <c r="A261" i="1"/>
  <c r="L260" i="1"/>
  <c r="A260" i="1"/>
  <c r="L259" i="1"/>
  <c r="A259" i="1"/>
  <c r="D258" i="1"/>
  <c r="A258" i="1"/>
  <c r="D257" i="1"/>
  <c r="A257" i="1"/>
  <c r="D256" i="1"/>
  <c r="A256" i="1"/>
  <c r="D255" i="1"/>
  <c r="A255" i="1"/>
  <c r="D254" i="1"/>
  <c r="A254" i="1"/>
  <c r="L253" i="1"/>
  <c r="A253" i="1"/>
  <c r="L252" i="1"/>
  <c r="A252" i="1"/>
  <c r="D251" i="1"/>
  <c r="A251" i="1"/>
  <c r="L250" i="1"/>
  <c r="A250" i="1"/>
  <c r="L249" i="1"/>
  <c r="A249" i="1"/>
  <c r="L248" i="1"/>
  <c r="A248" i="1"/>
  <c r="D247" i="1"/>
  <c r="A247" i="1"/>
  <c r="L246" i="1"/>
  <c r="A246" i="1"/>
  <c r="L245" i="1"/>
  <c r="A245" i="1"/>
  <c r="L244" i="1"/>
  <c r="A244" i="1"/>
  <c r="L243" i="1"/>
  <c r="A243" i="1"/>
  <c r="L242" i="1"/>
  <c r="A242" i="1"/>
  <c r="D241" i="1"/>
  <c r="A241" i="1"/>
  <c r="D240" i="1"/>
  <c r="A240" i="1"/>
  <c r="L239" i="1"/>
  <c r="A239" i="1"/>
  <c r="L238" i="1"/>
  <c r="A238" i="1"/>
  <c r="L237" i="1"/>
  <c r="A237" i="1"/>
  <c r="L236" i="1"/>
  <c r="A236" i="1"/>
  <c r="L235" i="1"/>
  <c r="A235" i="1"/>
  <c r="L234" i="1"/>
  <c r="A234" i="1"/>
  <c r="L233" i="1"/>
  <c r="A233" i="1"/>
  <c r="L232" i="1"/>
  <c r="A232" i="1"/>
  <c r="D231" i="1"/>
  <c r="A231" i="1"/>
  <c r="L230" i="1"/>
  <c r="A230" i="1"/>
  <c r="L229" i="1"/>
  <c r="A229" i="1"/>
  <c r="L228" i="1"/>
  <c r="A228" i="1"/>
  <c r="D227" i="1"/>
  <c r="A227" i="1"/>
  <c r="L226" i="1"/>
  <c r="A226" i="1"/>
  <c r="D225" i="1"/>
  <c r="A225" i="1"/>
  <c r="L224" i="1"/>
  <c r="A224" i="1"/>
  <c r="L223" i="1"/>
  <c r="A223" i="1"/>
  <c r="D222" i="1"/>
  <c r="A222" i="1"/>
  <c r="L221" i="1"/>
  <c r="A221" i="1"/>
  <c r="L220" i="1"/>
  <c r="A220" i="1"/>
  <c r="L219" i="1"/>
  <c r="A219" i="1"/>
  <c r="D218" i="1"/>
  <c r="A218" i="1"/>
  <c r="L217" i="1"/>
  <c r="A217" i="1"/>
  <c r="L216" i="1"/>
  <c r="A216" i="1"/>
  <c r="L215" i="1"/>
  <c r="A215" i="1"/>
  <c r="L214" i="1"/>
  <c r="A214" i="1"/>
  <c r="D213" i="1"/>
  <c r="A213" i="1"/>
  <c r="D212" i="1"/>
  <c r="A212" i="1"/>
  <c r="L211" i="1"/>
  <c r="A211" i="1"/>
  <c r="L210" i="1"/>
  <c r="A210" i="1"/>
  <c r="L209" i="1"/>
  <c r="A209" i="1"/>
  <c r="L208" i="1"/>
  <c r="A208" i="1"/>
  <c r="L207" i="1"/>
  <c r="A207" i="1"/>
  <c r="L206" i="1"/>
  <c r="A206" i="1"/>
  <c r="L205" i="1"/>
  <c r="A205" i="1"/>
  <c r="L204" i="1"/>
  <c r="A204" i="1"/>
  <c r="L203" i="1"/>
  <c r="A203" i="1"/>
  <c r="L202" i="1"/>
  <c r="A202" i="1"/>
  <c r="L201" i="1"/>
  <c r="A201" i="1"/>
  <c r="L200" i="1"/>
  <c r="A200" i="1"/>
  <c r="D199" i="1"/>
  <c r="A199" i="1"/>
  <c r="L198" i="1"/>
  <c r="A198" i="1"/>
  <c r="L197" i="1"/>
  <c r="A197" i="1"/>
  <c r="D196" i="1"/>
  <c r="A196" i="1"/>
  <c r="D195" i="1"/>
  <c r="A195" i="1"/>
  <c r="D194" i="1"/>
  <c r="A194" i="1"/>
  <c r="L193" i="1"/>
  <c r="A193" i="1"/>
  <c r="L192" i="1"/>
  <c r="A192" i="1"/>
  <c r="L191" i="1"/>
  <c r="A191" i="1"/>
  <c r="D190" i="1"/>
  <c r="A190" i="1"/>
  <c r="D189" i="1"/>
  <c r="A189" i="1"/>
  <c r="L188" i="1"/>
  <c r="A188" i="1"/>
  <c r="L187" i="1"/>
  <c r="A187" i="1"/>
  <c r="L186" i="1"/>
  <c r="A186" i="1"/>
  <c r="L185" i="1"/>
  <c r="A185" i="1"/>
  <c r="D184" i="1"/>
  <c r="A184" i="1"/>
  <c r="L183" i="1"/>
  <c r="A183" i="1"/>
  <c r="L182" i="1"/>
  <c r="A182" i="1"/>
  <c r="D181" i="1"/>
  <c r="A181" i="1"/>
  <c r="D180" i="1"/>
  <c r="A180" i="1"/>
  <c r="D179" i="1"/>
  <c r="A179" i="1"/>
  <c r="D178" i="1"/>
  <c r="A178" i="1"/>
  <c r="L177" i="1"/>
  <c r="A177" i="1"/>
  <c r="L176" i="1"/>
  <c r="A176" i="1"/>
  <c r="L175" i="1"/>
  <c r="A175" i="1"/>
  <c r="L174" i="1"/>
  <c r="A174" i="1"/>
  <c r="L173" i="1"/>
  <c r="A173" i="1"/>
  <c r="L172" i="1"/>
  <c r="A172" i="1"/>
  <c r="L171" i="1"/>
  <c r="A171" i="1"/>
  <c r="D170" i="1"/>
  <c r="A170" i="1"/>
  <c r="D169" i="1"/>
  <c r="A169" i="1"/>
  <c r="L168" i="1"/>
  <c r="A168" i="1"/>
  <c r="L167" i="1"/>
  <c r="A167" i="1"/>
  <c r="L166" i="1"/>
  <c r="A166" i="1"/>
  <c r="L165" i="1"/>
  <c r="A165" i="1"/>
  <c r="D164" i="1"/>
  <c r="A164" i="1"/>
  <c r="L163" i="1"/>
  <c r="A163" i="1"/>
  <c r="L162" i="1"/>
  <c r="A162" i="1"/>
  <c r="L161" i="1"/>
  <c r="A161" i="1"/>
  <c r="A160" i="1"/>
  <c r="D159" i="1"/>
  <c r="A159" i="1"/>
  <c r="L158" i="1"/>
  <c r="A158" i="1"/>
  <c r="L157" i="1"/>
  <c r="A157" i="1"/>
  <c r="D156" i="1"/>
  <c r="A156" i="1"/>
  <c r="L155" i="1"/>
  <c r="A155" i="1"/>
  <c r="D154" i="1"/>
  <c r="A154" i="1"/>
  <c r="L153" i="1"/>
  <c r="A153" i="1"/>
  <c r="L152" i="1"/>
  <c r="A152" i="1"/>
  <c r="D151" i="1"/>
  <c r="A151" i="1"/>
  <c r="D150" i="1"/>
  <c r="A150" i="1"/>
  <c r="D149" i="1"/>
  <c r="A149" i="1"/>
  <c r="L148" i="1"/>
  <c r="A148" i="1"/>
  <c r="L147" i="1"/>
  <c r="A147" i="1"/>
  <c r="L146" i="1"/>
  <c r="A146" i="1"/>
  <c r="L145" i="1"/>
  <c r="A145" i="1"/>
  <c r="D144" i="1"/>
  <c r="A144" i="1"/>
  <c r="D143" i="1"/>
  <c r="A143" i="1"/>
  <c r="L142" i="1"/>
  <c r="A142" i="1"/>
  <c r="D141" i="1"/>
  <c r="A141" i="1"/>
  <c r="L140" i="1"/>
  <c r="A140" i="1"/>
  <c r="L139" i="1"/>
  <c r="A139" i="1"/>
  <c r="D138" i="1"/>
  <c r="A138" i="1"/>
  <c r="D137" i="1"/>
  <c r="A137" i="1"/>
  <c r="L136" i="1"/>
  <c r="A136" i="1"/>
  <c r="D135" i="1"/>
  <c r="A135" i="1"/>
  <c r="D134" i="1"/>
  <c r="A134" i="1"/>
  <c r="L133" i="1"/>
  <c r="A133" i="1"/>
  <c r="D132" i="1"/>
  <c r="A132" i="1"/>
  <c r="L131" i="1"/>
  <c r="A131" i="1"/>
  <c r="D130" i="1"/>
  <c r="A130" i="1"/>
  <c r="D129" i="1"/>
  <c r="A129" i="1"/>
  <c r="D128" i="1"/>
  <c r="A128" i="1"/>
  <c r="L127" i="1"/>
  <c r="A127" i="1"/>
  <c r="D126" i="1"/>
  <c r="A126" i="1"/>
  <c r="L125" i="1"/>
  <c r="A125" i="1"/>
  <c r="D124" i="1"/>
  <c r="A124" i="1"/>
  <c r="D123" i="1"/>
  <c r="A123" i="1"/>
  <c r="D122" i="1"/>
  <c r="A122" i="1"/>
  <c r="D121" i="1"/>
  <c r="A121" i="1"/>
  <c r="D120" i="1"/>
  <c r="A120" i="1"/>
  <c r="D119" i="1"/>
  <c r="A119" i="1"/>
  <c r="D118" i="1"/>
  <c r="A118" i="1"/>
  <c r="D117" i="1"/>
  <c r="A117" i="1"/>
  <c r="D116" i="1"/>
  <c r="A116" i="1"/>
  <c r="D115" i="1"/>
  <c r="A115" i="1"/>
  <c r="D114" i="1"/>
  <c r="A114" i="1"/>
  <c r="D113" i="1"/>
  <c r="A113" i="1"/>
  <c r="D112" i="1"/>
  <c r="A112" i="1"/>
  <c r="D111" i="1"/>
  <c r="A111" i="1"/>
  <c r="D110" i="1"/>
  <c r="A110" i="1"/>
  <c r="D109" i="1"/>
  <c r="A109" i="1"/>
  <c r="D108" i="1"/>
  <c r="A108" i="1"/>
  <c r="D107" i="1"/>
  <c r="A107" i="1"/>
  <c r="D106" i="1"/>
  <c r="A106" i="1"/>
  <c r="D105" i="1"/>
  <c r="A105" i="1"/>
  <c r="D104" i="1"/>
  <c r="A104" i="1"/>
  <c r="D103" i="1"/>
  <c r="A103" i="1"/>
  <c r="D102" i="1"/>
  <c r="A102" i="1"/>
  <c r="D101" i="1"/>
  <c r="A101" i="1"/>
  <c r="D100" i="1"/>
  <c r="A100" i="1"/>
  <c r="D99" i="1"/>
  <c r="A99" i="1"/>
  <c r="D98" i="1"/>
  <c r="A98" i="1"/>
  <c r="D97" i="1"/>
  <c r="A97" i="1"/>
  <c r="D96" i="1"/>
  <c r="A96" i="1"/>
  <c r="D95" i="1"/>
  <c r="A95" i="1"/>
  <c r="D94" i="1"/>
  <c r="A94" i="1"/>
  <c r="D93" i="1"/>
  <c r="A93" i="1"/>
  <c r="D92" i="1"/>
  <c r="A92" i="1"/>
  <c r="D91" i="1"/>
  <c r="A91" i="1"/>
  <c r="D90" i="1"/>
  <c r="A90" i="1"/>
  <c r="D89" i="1"/>
  <c r="A89" i="1"/>
  <c r="D88" i="1"/>
  <c r="A88" i="1"/>
  <c r="D87" i="1"/>
  <c r="A87" i="1"/>
  <c r="D86" i="1"/>
  <c r="A86" i="1"/>
  <c r="D85" i="1"/>
  <c r="A85" i="1"/>
  <c r="D84" i="1"/>
  <c r="A84" i="1"/>
  <c r="D83" i="1"/>
  <c r="A83" i="1"/>
  <c r="D82" i="1"/>
  <c r="A82" i="1"/>
  <c r="D81" i="1"/>
  <c r="A81" i="1"/>
  <c r="D80" i="1"/>
  <c r="A80" i="1"/>
  <c r="D79" i="1"/>
  <c r="A79" i="1"/>
  <c r="D78" i="1"/>
  <c r="A78" i="1"/>
  <c r="D77" i="1"/>
  <c r="A77" i="1"/>
  <c r="D41" i="1"/>
  <c r="A41" i="1"/>
  <c r="D76" i="1"/>
  <c r="A76" i="1"/>
  <c r="D75" i="1"/>
  <c r="A75" i="1"/>
  <c r="D74" i="1"/>
  <c r="A74" i="1"/>
  <c r="D73" i="1"/>
  <c r="A73" i="1"/>
  <c r="D40" i="1"/>
  <c r="A40" i="1"/>
  <c r="D72" i="1"/>
  <c r="A72" i="1"/>
  <c r="D71" i="1"/>
  <c r="A71" i="1"/>
  <c r="D70" i="1"/>
  <c r="A70" i="1"/>
  <c r="D69" i="1"/>
  <c r="A69" i="1"/>
  <c r="D68" i="1"/>
  <c r="A68" i="1"/>
  <c r="D67" i="1"/>
  <c r="A67" i="1"/>
  <c r="D66" i="1"/>
  <c r="A66" i="1"/>
  <c r="D39" i="1"/>
  <c r="A39" i="1"/>
  <c r="D65" i="1"/>
  <c r="A65" i="1"/>
  <c r="D64" i="1"/>
  <c r="A64" i="1"/>
  <c r="D63" i="1"/>
  <c r="A63" i="1"/>
  <c r="D62" i="1"/>
  <c r="A62" i="1"/>
  <c r="D61" i="1"/>
  <c r="A61" i="1"/>
  <c r="D60" i="1"/>
  <c r="A60" i="1"/>
  <c r="D59" i="1"/>
  <c r="A59" i="1"/>
  <c r="D58" i="1"/>
  <c r="A58" i="1"/>
  <c r="D57" i="1"/>
  <c r="A57" i="1"/>
  <c r="D56" i="1"/>
  <c r="A56" i="1"/>
  <c r="D55" i="1"/>
  <c r="A55" i="1"/>
  <c r="D54" i="1"/>
  <c r="A54" i="1"/>
  <c r="D53" i="1"/>
  <c r="A53" i="1"/>
  <c r="D52" i="1"/>
  <c r="A52" i="1"/>
  <c r="D51" i="1"/>
  <c r="A51" i="1"/>
  <c r="D38" i="1"/>
  <c r="A38" i="1"/>
  <c r="D50" i="1"/>
  <c r="A50" i="1"/>
  <c r="D49" i="1"/>
  <c r="A49" i="1"/>
  <c r="D48" i="1"/>
  <c r="A48" i="1"/>
  <c r="D47" i="1"/>
  <c r="A47" i="1"/>
  <c r="D46" i="1"/>
  <c r="A46" i="1"/>
  <c r="D37" i="1"/>
  <c r="A37" i="1"/>
  <c r="D36" i="1"/>
  <c r="A36" i="1"/>
  <c r="D35" i="1"/>
  <c r="A35" i="1"/>
  <c r="D34" i="1"/>
  <c r="A34" i="1"/>
  <c r="D33" i="1"/>
  <c r="A33" i="1"/>
  <c r="D32" i="1"/>
  <c r="A32" i="1"/>
  <c r="D31" i="1"/>
  <c r="A31" i="1"/>
  <c r="D30" i="1"/>
  <c r="A30" i="1"/>
  <c r="D29" i="1"/>
  <c r="A29" i="1"/>
  <c r="D28" i="1"/>
  <c r="A28" i="1"/>
  <c r="D27" i="1"/>
  <c r="A27" i="1"/>
  <c r="D26" i="1"/>
  <c r="A26" i="1"/>
  <c r="D25" i="1"/>
  <c r="A25" i="1"/>
  <c r="D24" i="1"/>
  <c r="A24" i="1"/>
  <c r="D23" i="1"/>
  <c r="A23" i="1"/>
  <c r="D22" i="1"/>
  <c r="A22" i="1"/>
  <c r="D21" i="1"/>
  <c r="A21" i="1"/>
  <c r="D20" i="1"/>
  <c r="A20" i="1"/>
  <c r="D19" i="1"/>
  <c r="A19" i="1"/>
  <c r="D18" i="1"/>
  <c r="A18" i="1"/>
  <c r="D17" i="1"/>
  <c r="A17" i="1"/>
  <c r="D16" i="1"/>
  <c r="A16" i="1"/>
  <c r="D15" i="1"/>
  <c r="A15" i="1"/>
  <c r="D14" i="1"/>
  <c r="D13" i="1"/>
  <c r="A13" i="1"/>
  <c r="D12" i="1"/>
  <c r="A12" i="1"/>
  <c r="D11" i="1"/>
  <c r="A11" i="1"/>
  <c r="D10" i="1"/>
  <c r="A10" i="1"/>
  <c r="D9" i="1"/>
  <c r="A9" i="1"/>
  <c r="D8" i="1"/>
  <c r="A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<sst xmlns="http://schemas.openxmlformats.org/spreadsheetml/2006/main" count="1372" uniqueCount="693">
  <si>
    <t>codigo_prospeccion</t>
  </si>
  <si>
    <t>fecha_inicio_prospeccion</t>
  </si>
  <si>
    <t>fecha_oferta_prospeccion</t>
  </si>
  <si>
    <t>codigo_proyecto</t>
  </si>
  <si>
    <t>date1</t>
  </si>
  <si>
    <t>date2</t>
  </si>
  <si>
    <t>date3</t>
  </si>
  <si>
    <t>date4</t>
  </si>
  <si>
    <t>nombre_corto</t>
  </si>
  <si>
    <t>TITULO_PROYECTO</t>
  </si>
  <si>
    <t>Poblacion</t>
  </si>
  <si>
    <t>estado</t>
  </si>
  <si>
    <t>46/15257</t>
  </si>
  <si>
    <t>ameriques 46 EBULI</t>
  </si>
  <si>
    <t>Instalación de ascensor en edif. viv.</t>
  </si>
  <si>
    <t>Perelló, el</t>
  </si>
  <si>
    <t>EN VISADO</t>
  </si>
  <si>
    <t>46/15240</t>
  </si>
  <si>
    <t>caballeros 15 FAC</t>
  </si>
  <si>
    <t>Redacción documentación</t>
  </si>
  <si>
    <t>valencia</t>
  </si>
  <si>
    <t>ACABADA</t>
  </si>
  <si>
    <t>46/15235</t>
  </si>
  <si>
    <t>maderas 67 ACC</t>
  </si>
  <si>
    <t>Eliminación Barreras Arq.</t>
  </si>
  <si>
    <t>Valencia</t>
  </si>
  <si>
    <t>ACEPTADA</t>
  </si>
  <si>
    <t>46/15232</t>
  </si>
  <si>
    <t>viv 4 cf20 REF</t>
  </si>
  <si>
    <t>Reforma de vivienda</t>
  </si>
  <si>
    <t>ESPERAMOS</t>
  </si>
  <si>
    <t>46/15236</t>
  </si>
  <si>
    <t>sto. domingo 6 FACHADA</t>
  </si>
  <si>
    <t>Memoria valorada para reparación de fachadas</t>
  </si>
  <si>
    <t>paterna</t>
  </si>
  <si>
    <t>46/15226</t>
  </si>
  <si>
    <t>san vicente 222 ACC</t>
  </si>
  <si>
    <t>naranjos 43 IEE</t>
  </si>
  <si>
    <t>Informe de Evaluación del Edificio</t>
  </si>
  <si>
    <t>VALENCIA</t>
  </si>
  <si>
    <t>pedro valencia 12 IEE</t>
  </si>
  <si>
    <t>pedro valencia 12 ACC</t>
  </si>
  <si>
    <t>Eliminación de Barreras Arquitectónicas</t>
  </si>
  <si>
    <t>PARA LICENCIA</t>
  </si>
  <si>
    <t>nou d'octubre 12 EBULI</t>
  </si>
  <si>
    <t>Instalación de ascensor en edificio de viviendas</t>
  </si>
  <si>
    <t>BENETUSSER</t>
  </si>
  <si>
    <t>ESPERANDO INICIO OBR</t>
  </si>
  <si>
    <t>tenor garcia 5 ACC</t>
  </si>
  <si>
    <t>perez galdos 41 ACC</t>
  </si>
  <si>
    <t>EN OBRA</t>
  </si>
  <si>
    <t>46/15266</t>
  </si>
  <si>
    <t>magnolias 4 ANEXO</t>
  </si>
  <si>
    <t>Informe</t>
  </si>
  <si>
    <t>pobla vallbona, la</t>
  </si>
  <si>
    <t>card. benlloch 37 ACC</t>
  </si>
  <si>
    <t>MISLATA</t>
  </si>
  <si>
    <t>nou d'octubre 12 IEE</t>
  </si>
  <si>
    <t>card. benlloch 37 IEE</t>
  </si>
  <si>
    <t>usedo 3 5 9</t>
  </si>
  <si>
    <t>Certificado de eficiencia energética</t>
  </si>
  <si>
    <t>usedo 3 3 6 IEE</t>
  </si>
  <si>
    <t>avda puerto 222 IEE</t>
  </si>
  <si>
    <t>cristo grao 8 IEE</t>
  </si>
  <si>
    <t>Informe de Evaluación de Edificios</t>
  </si>
  <si>
    <t>moltó certi notaria</t>
  </si>
  <si>
    <t>Certificado de antigüedad para notaría</t>
  </si>
  <si>
    <t>TURIS (URB. ALTURY)</t>
  </si>
  <si>
    <t>manolo gil 4 IEE</t>
  </si>
  <si>
    <t>pedro valencia 22 IEE</t>
  </si>
  <si>
    <t>portugal 5-7 GARAJES</t>
  </si>
  <si>
    <t>Reforma de rampa en acceso a garaje</t>
  </si>
  <si>
    <t>la foieta 6 3 9 CEE</t>
  </si>
  <si>
    <t>TORRENTE</t>
  </si>
  <si>
    <t>cirilo amoros 78 ACC</t>
  </si>
  <si>
    <t>EN LICENCIA</t>
  </si>
  <si>
    <t>pedro valencia 22 ACC</t>
  </si>
  <si>
    <t>almacera 4 REFUERZO</t>
  </si>
  <si>
    <t>Refuerzo puntual estructura en edif. viv.</t>
  </si>
  <si>
    <t>Paterna</t>
  </si>
  <si>
    <t>TRABAJANDO</t>
  </si>
  <si>
    <t>campamento 28 EBULI</t>
  </si>
  <si>
    <t>Instalacion de ascensor en edificio de viviendas</t>
  </si>
  <si>
    <t>Avda. Naranjos 43 ACC</t>
  </si>
  <si>
    <t>Eliminacion de barreras arquitectonicas</t>
  </si>
  <si>
    <t>j.r. jimenez 87 ACC</t>
  </si>
  <si>
    <t>PARA CFO</t>
  </si>
  <si>
    <t>puebla valverde 6 ACC</t>
  </si>
  <si>
    <t>vcte ribes local 3 ACT</t>
  </si>
  <si>
    <t>Memoria técnica para actividad</t>
  </si>
  <si>
    <t>TURIS</t>
  </si>
  <si>
    <t>padre ferris, 22 ACC</t>
  </si>
  <si>
    <t>torrente 24-2 TASACION</t>
  </si>
  <si>
    <t>Valoración de vivienda en edificio</t>
  </si>
  <si>
    <t>PICAÑA</t>
  </si>
  <si>
    <t>pastor y gonzalez ACT</t>
  </si>
  <si>
    <t>r.cajal 14 rocafort AC</t>
  </si>
  <si>
    <t>ROCAFORT</t>
  </si>
  <si>
    <t>barraca 52 CERTI</t>
  </si>
  <si>
    <t>Certificado para huida reducida</t>
  </si>
  <si>
    <t>fabian y fuero 18 ACC</t>
  </si>
  <si>
    <t>ramiro maeztu 46 ACC</t>
  </si>
  <si>
    <t>nou benicalap CEE</t>
  </si>
  <si>
    <t>Certificado de Eficiencia Energética</t>
  </si>
  <si>
    <t>maderas 65 ACC</t>
  </si>
  <si>
    <t>sotavento 5 4 12 CEE</t>
  </si>
  <si>
    <t>j. ramon jimenez 85 AC</t>
  </si>
  <si>
    <t>nou benicalap 1 INFORM</t>
  </si>
  <si>
    <t>Informe medidas técnicas para reparación de daños</t>
  </si>
  <si>
    <t>manolo gil 4 ACC</t>
  </si>
  <si>
    <t>sotavento 5 FACHADAS</t>
  </si>
  <si>
    <t>Reparación de frentes de forjado en fachada</t>
  </si>
  <si>
    <t>ramon y cajal 49 IEE</t>
  </si>
  <si>
    <t>cadiz 38 5 10 CEE</t>
  </si>
  <si>
    <t>zamenhof 9 ZAGUAN</t>
  </si>
  <si>
    <t>Reforma de zaguán en edificio de viviendas</t>
  </si>
  <si>
    <t>la cañada EJEC SUBS</t>
  </si>
  <si>
    <t>Vallado de seguridad y retirada de grua</t>
  </si>
  <si>
    <t>PATERNA</t>
  </si>
  <si>
    <t>marq montortal 25 ACC</t>
  </si>
  <si>
    <t>zamenhof 9 1 2 CEE</t>
  </si>
  <si>
    <t>Certificado Eficiencia Energética</t>
  </si>
  <si>
    <t>zamenhon 9 5 13 CEE</t>
  </si>
  <si>
    <t>waksman 60 ACC</t>
  </si>
  <si>
    <t>valle ballestera 50 AC</t>
  </si>
  <si>
    <t>constitucion 3 izda AC</t>
  </si>
  <si>
    <t>artes graficas 6 ACC</t>
  </si>
  <si>
    <t>CANCELADO</t>
  </si>
  <si>
    <t>alfahuir 20 ACCESIBILI</t>
  </si>
  <si>
    <t>molina palau 30 ACC</t>
  </si>
  <si>
    <t>sylvia romeu 4 ACC</t>
  </si>
  <si>
    <t>ciutat de carlet 7 ACC</t>
  </si>
  <si>
    <t>pintor stolz 30 FACHAD</t>
  </si>
  <si>
    <t>Reparación de fachadas</t>
  </si>
  <si>
    <t>zamenhof 9 2 5 REFORMA</t>
  </si>
  <si>
    <t>Reforma de vivienda en edificio de viviendas</t>
  </si>
  <si>
    <t>cadiz 77 1 CEE</t>
  </si>
  <si>
    <t>casa madera BETERA</t>
  </si>
  <si>
    <t>Vivienda unifamiliar aislada</t>
  </si>
  <si>
    <t>BETERA</t>
  </si>
  <si>
    <t>pintor stolz 30 DESAGU</t>
  </si>
  <si>
    <t>Reparación red saneamiento en edificio</t>
  </si>
  <si>
    <t>pdista. llorente 9 ACC</t>
  </si>
  <si>
    <t>troya 10 SANEAMIENTO</t>
  </si>
  <si>
    <t>cadiz 77 ACC</t>
  </si>
  <si>
    <t>san andres 41 SANEAM</t>
  </si>
  <si>
    <t>Red horizontal de saneamiento</t>
  </si>
  <si>
    <t>hist. diago 9 ITE</t>
  </si>
  <si>
    <t>Inspección Técnica de Edificios</t>
  </si>
  <si>
    <t>hist. diago 2 ITE</t>
  </si>
  <si>
    <t>cadiz 72 SANEAMIENTO</t>
  </si>
  <si>
    <t>Sustitución de red de saneamiento en edificio de viviendas</t>
  </si>
  <si>
    <t>cura femenia 20 REPARA</t>
  </si>
  <si>
    <t>Reparación de edificio de viviendas</t>
  </si>
  <si>
    <t>maria llacer ITE</t>
  </si>
  <si>
    <t>peset cervera CEE</t>
  </si>
  <si>
    <t>junipero serra 45 INF</t>
  </si>
  <si>
    <t>Informe sobre situación terrazas en edificio de viviendas</t>
  </si>
  <si>
    <t>Zamenhoff 9 - 8 CEE</t>
  </si>
  <si>
    <t>Certificado Eficiencia Energetica</t>
  </si>
  <si>
    <t>cadiz 72 BAJO</t>
  </si>
  <si>
    <t>casa CADIZ 77</t>
  </si>
  <si>
    <t>ARCHIVADO</t>
  </si>
  <si>
    <t>certi notaria VIÑAMALA</t>
  </si>
  <si>
    <t>alfonso X FACHADA</t>
  </si>
  <si>
    <t>Reparación en fachadas</t>
  </si>
  <si>
    <t>farm peydro 24 HAB</t>
  </si>
  <si>
    <t>Habilitación de cambra para vivienda</t>
  </si>
  <si>
    <t>jose calasanz 21 IEE</t>
  </si>
  <si>
    <t>zamenhoff 9 1 1 CEE</t>
  </si>
  <si>
    <t>alginet 4 2 6 CERTI</t>
  </si>
  <si>
    <t>gregorio mayans 4 ITE</t>
  </si>
  <si>
    <t>virgen montiel FACHADA</t>
  </si>
  <si>
    <t>altea BALCÓN</t>
  </si>
  <si>
    <t>Expdte. Legalización reforma y ampliación de balcón</t>
  </si>
  <si>
    <t>zamenhoff 9 REPARACION</t>
  </si>
  <si>
    <t>Mantenimiento de fachadas y reparación de cubiertas</t>
  </si>
  <si>
    <t>sotavento 11 FACHADA</t>
  </si>
  <si>
    <t>Reparación de fachada principal en edificio de viviendas</t>
  </si>
  <si>
    <t>tomasos 3-2-3 INFORME</t>
  </si>
  <si>
    <t>Informe estado vivienda</t>
  </si>
  <si>
    <t>zamenhoff 9 ITE</t>
  </si>
  <si>
    <t>calixto III 9 CUBIERTA</t>
  </si>
  <si>
    <t>Reparación de cubierta en edificio de viviendas</t>
  </si>
  <si>
    <t>san vicente 222 25 REF</t>
  </si>
  <si>
    <t>manolo taberner PATIO</t>
  </si>
  <si>
    <t>Pintado de patio de luces</t>
  </si>
  <si>
    <t>san pancracio GARAJE</t>
  </si>
  <si>
    <t>DERE para cambio de puerta en garaje</t>
  </si>
  <si>
    <t>enebro 4 FACHADA</t>
  </si>
  <si>
    <t>CUBIERTA falla</t>
  </si>
  <si>
    <t>Cubrición en patio</t>
  </si>
  <si>
    <t>paterna DESAGUES</t>
  </si>
  <si>
    <t>Sustitución de red de saneamiento en vivienda unifamiliar</t>
  </si>
  <si>
    <t>sotavento 5 REPARACION</t>
  </si>
  <si>
    <t>Reparación en edificio de vivienda</t>
  </si>
  <si>
    <t>mallent i meri 113 CUB</t>
  </si>
  <si>
    <t>histriador diago PATIO</t>
  </si>
  <si>
    <t>Sustitución de forjado en patio trasero en edificio de viviendas</t>
  </si>
  <si>
    <t>locutorio Alfonso</t>
  </si>
  <si>
    <t>Comunicación ambiental</t>
  </si>
  <si>
    <t>derribo bonaire</t>
  </si>
  <si>
    <t>proyecto de derribo de vivienda entre medianeras</t>
  </si>
  <si>
    <t>certi habitat TETA</t>
  </si>
  <si>
    <t>Certificado de habitabilidad</t>
  </si>
  <si>
    <t>alfonso l'eliana</t>
  </si>
  <si>
    <t>Reforma y ampliación de viv. unif. aislada</t>
  </si>
  <si>
    <t>ELIANA L'</t>
  </si>
  <si>
    <t>moreno usedo ITE</t>
  </si>
  <si>
    <t>puerto rico 45 FACHADA</t>
  </si>
  <si>
    <t>Reparación en edificio de viviendas</t>
  </si>
  <si>
    <t>peatonalización plaza</t>
  </si>
  <si>
    <t>Solicitud de peatonalización de plaza pública</t>
  </si>
  <si>
    <t>certi campello</t>
  </si>
  <si>
    <t>CAMPELLO, EL</t>
  </si>
  <si>
    <t>calixto III ITE</t>
  </si>
  <si>
    <t>mª salud CERTI</t>
  </si>
  <si>
    <t>ELDA</t>
  </si>
  <si>
    <t>almacera 4 DESAGUES</t>
  </si>
  <si>
    <t>rafael janini ITE</t>
  </si>
  <si>
    <t>JCarlos Carp informe</t>
  </si>
  <si>
    <t>Peritaje sobre resistencia estructural</t>
  </si>
  <si>
    <t>cadiz 38 ITE</t>
  </si>
  <si>
    <t>magnolias 4</t>
  </si>
  <si>
    <t>Informe sobre estado de edificio</t>
  </si>
  <si>
    <t>POBLA DE VALLBONA, LA</t>
  </si>
  <si>
    <t>historiador diago 9</t>
  </si>
  <si>
    <t>Informe estado pilares</t>
  </si>
  <si>
    <t>cura femenia 13 INF</t>
  </si>
  <si>
    <t>Informe de estado de edificio</t>
  </si>
  <si>
    <t>RECHAZADA</t>
  </si>
  <si>
    <t>ramon y cajal VISITA</t>
  </si>
  <si>
    <t>visita previa inspección</t>
  </si>
  <si>
    <t>maria llacer ANDAMIO</t>
  </si>
  <si>
    <t>Licencia de ocupación de vía pública</t>
  </si>
  <si>
    <t>troya 10</t>
  </si>
  <si>
    <t>Mantenimiento de fachadas y medianeras</t>
  </si>
  <si>
    <t>ramon y cajal 32</t>
  </si>
  <si>
    <t>Reparación y accesibilidad en edificio de viviendas</t>
  </si>
  <si>
    <t>ramón y cajal,32 ICE</t>
  </si>
  <si>
    <t>Informe de Conservación del Edificio</t>
  </si>
  <si>
    <t>monica AGENCIA</t>
  </si>
  <si>
    <t>Comunicación ambiental para agencia de viajes</t>
  </si>
  <si>
    <t>ice manuel simo 43</t>
  </si>
  <si>
    <t>ice manuel simo</t>
  </si>
  <si>
    <t>virgen montiel paterna</t>
  </si>
  <si>
    <t>Reparación de edificio</t>
  </si>
  <si>
    <t>arq. Alfaro PLAZA</t>
  </si>
  <si>
    <t>Reparacion humedades en plaza trasera</t>
  </si>
  <si>
    <t>arq. alfaro PLAZA</t>
  </si>
  <si>
    <t>Impermeabilización de plaza</t>
  </si>
  <si>
    <t>femenia 13 REPARACIO</t>
  </si>
  <si>
    <t>Refuerzo estructural en planta baja de edificio de viviendas</t>
  </si>
  <si>
    <t>Ferrer Calatayud 9bi</t>
  </si>
  <si>
    <t>Eliminación de barreras arquitectónicas</t>
  </si>
  <si>
    <t>Fco. Cubells ICE</t>
  </si>
  <si>
    <t>Informe de Conservación del edificio</t>
  </si>
  <si>
    <t>arq. Alfaro 34</t>
  </si>
  <si>
    <t>Reparación de fachadas y junta de edificio</t>
  </si>
  <si>
    <t>alboraya, 18</t>
  </si>
  <si>
    <t>Documentación para comunicación previa de obras</t>
  </si>
  <si>
    <t>musico peydro REP</t>
  </si>
  <si>
    <t>alc cano coloma 11</t>
  </si>
  <si>
    <t>Proyecto de actividad para garaje</t>
  </si>
  <si>
    <t>alc cano coloma,13</t>
  </si>
  <si>
    <t>ferrer calatayud, 7</t>
  </si>
  <si>
    <t>marvá,17</t>
  </si>
  <si>
    <t>reparación de daños</t>
  </si>
  <si>
    <t>cura femenia,22</t>
  </si>
  <si>
    <t>moreno usedo ASCENSOR</t>
  </si>
  <si>
    <t>Habilitación para ascensor</t>
  </si>
  <si>
    <t>moreno usedo FACHADA</t>
  </si>
  <si>
    <t>Rehabilitación de fachada</t>
  </si>
  <si>
    <t>san vicente FACHADA</t>
  </si>
  <si>
    <t>Reparación de fachada principal</t>
  </si>
  <si>
    <t>c/ Ponent - Gandia</t>
  </si>
  <si>
    <t>Colocación de ascensor</t>
  </si>
  <si>
    <t>GRAO DE GANDIA</t>
  </si>
  <si>
    <t>santuariodemontiel.com</t>
  </si>
  <si>
    <t>web santuariodemontiel.com</t>
  </si>
  <si>
    <t>benicarló, 21 DAÑOS</t>
  </si>
  <si>
    <t>Peritación daños en varias viviendas</t>
  </si>
  <si>
    <t>Portugal, 5-7</t>
  </si>
  <si>
    <t>Reposición de pavimento en acera por eliminación foseado en garaje</t>
  </si>
  <si>
    <t>Benicarlo, 21</t>
  </si>
  <si>
    <t>Cardenal Benlloch, 9</t>
  </si>
  <si>
    <t>Felipe Torrelles</t>
  </si>
  <si>
    <t>Reforma de vivienda entre medianeras</t>
  </si>
  <si>
    <t>músico peydró, 7 ITE</t>
  </si>
  <si>
    <t>Informe ITE</t>
  </si>
  <si>
    <t>Gaspar Aguilar, 48</t>
  </si>
  <si>
    <t>Reparación cubiertas y eliminación de barreras en zaguán</t>
  </si>
  <si>
    <t>Comunicación Ambiental</t>
  </si>
  <si>
    <t>Dama de Elche</t>
  </si>
  <si>
    <t>stos. Justo…ASCENSOR</t>
  </si>
  <si>
    <t>Accesibilidad en edificios de viviendas</t>
  </si>
  <si>
    <t>Manuel Simó, 43</t>
  </si>
  <si>
    <t>Colocación de rampa en zaguán</t>
  </si>
  <si>
    <t>casa alginet</t>
  </si>
  <si>
    <t>alginet</t>
  </si>
  <si>
    <t>reparación de fachadas</t>
  </si>
  <si>
    <t>Licencia de Segregación</t>
  </si>
  <si>
    <t>Barlovento, 2</t>
  </si>
  <si>
    <t>reparcelacion blasques</t>
  </si>
  <si>
    <t>Propuesta de agrupación y segregaciones</t>
  </si>
  <si>
    <t>rosabelen segregació</t>
  </si>
  <si>
    <t>licencia de segregación</t>
  </si>
  <si>
    <t>iglesia dipu</t>
  </si>
  <si>
    <t>rehabilitación de cubiertas</t>
  </si>
  <si>
    <t>primo carlos</t>
  </si>
  <si>
    <t>Vivienda unifamiliar entre medianeras</t>
  </si>
  <si>
    <t>obras para colocar plataforma sube-escaleras</t>
  </si>
  <si>
    <t>informe cadiz 38-6ª</t>
  </si>
  <si>
    <t>Informe inspección de grietas en viviendas</t>
  </si>
  <si>
    <t>terramelar</t>
  </si>
  <si>
    <t>proyecto de reparación e impermeabilización de plaza transitable</t>
  </si>
  <si>
    <t>proyecto de rehabilitación de Masía</t>
  </si>
  <si>
    <t>CARCAIXENT</t>
  </si>
  <si>
    <t>Ferrer Calatayud 11</t>
  </si>
  <si>
    <t>Eliminación de barreras arquitectónicas en edificio de viviendas</t>
  </si>
  <si>
    <t>Fco. Cubells, 27</t>
  </si>
  <si>
    <t>Mantenimiento de fachadas y medianeras y eliminación de barreras arquitectónicas</t>
  </si>
  <si>
    <t>marqués de zenete, 6</t>
  </si>
  <si>
    <t>reparación de edificio de viviendas</t>
  </si>
  <si>
    <t>stos. Justo y pastor</t>
  </si>
  <si>
    <t>puerta monjas</t>
  </si>
  <si>
    <t>asesoramiento</t>
  </si>
  <si>
    <t>REHABILITACIÓN ESTRUCTURA, FACHADAS Y CUBIERTAS Y ADECUACIÓN DE INSTALACIONES Y ELEMENTOS COMUNES</t>
  </si>
  <si>
    <t>taberna roquetes</t>
  </si>
  <si>
    <t>levantamiento de planos para ocupacion de via con mesas y sillas</t>
  </si>
  <si>
    <t>reparación de elementos en fachadas</t>
  </si>
  <si>
    <t>santisimo cristo</t>
  </si>
  <si>
    <t>eliminación de barreras arquitectónicas</t>
  </si>
  <si>
    <t>desgues prto rico 45</t>
  </si>
  <si>
    <t>documentación para conexión desagües a la red general</t>
  </si>
  <si>
    <t>reforma y habilitación de local para vivienda</t>
  </si>
  <si>
    <t>san vicente TRASERA</t>
  </si>
  <si>
    <t>puerto rico 45 TRASERA</t>
  </si>
  <si>
    <t>Reparación de fachada trasera</t>
  </si>
  <si>
    <t>levantamiento planos de la casa de benaguasil</t>
  </si>
  <si>
    <t>BENAGUASIL</t>
  </si>
  <si>
    <t>obra menor y comunicación ambiental</t>
  </si>
  <si>
    <t>local CGA turis</t>
  </si>
  <si>
    <t>proyecto de habilitación de local para vivienda</t>
  </si>
  <si>
    <t>club dulcinea</t>
  </si>
  <si>
    <t>Levantamiento de planos</t>
  </si>
  <si>
    <t>derribo enrique</t>
  </si>
  <si>
    <t>san vicente VADO</t>
  </si>
  <si>
    <t>expediente para obtención de vado</t>
  </si>
  <si>
    <t>Certificado para colocación de andamio tipo tijera</t>
  </si>
  <si>
    <t>Informe de estado actual y ventanas de edificio colindante</t>
  </si>
  <si>
    <t>maría llácer,3</t>
  </si>
  <si>
    <t>Proyecto de reparación de edificio de viviendas</t>
  </si>
  <si>
    <t>cartel entrada residencia monjas c/don juan de villarrasa</t>
  </si>
  <si>
    <t>levantamiento de planos</t>
  </si>
  <si>
    <t>Proyecto de reforma de zaguán y sustitución de ventanas en fachada</t>
  </si>
  <si>
    <t>informe técnico reparación viguetas</t>
  </si>
  <si>
    <t>Reforma y ampliación de vivienda unifamiliar entre medianeras</t>
  </si>
  <si>
    <t>SEDAVI</t>
  </si>
  <si>
    <t>abogado amigo carmen</t>
  </si>
  <si>
    <t>Comunicación ambiental para oficina</t>
  </si>
  <si>
    <t>cambio de cubierta</t>
  </si>
  <si>
    <t>MONTROY</t>
  </si>
  <si>
    <t>Reforma interior</t>
  </si>
  <si>
    <t>MASSAMAGRELL</t>
  </si>
  <si>
    <t>Reforma de fachada y patio</t>
  </si>
  <si>
    <t>curso de presto para 15 personas</t>
  </si>
  <si>
    <t>reforma y adecuación de edificio para guarderia</t>
  </si>
  <si>
    <t>derribo enrique pard</t>
  </si>
  <si>
    <t>Proyecto de derribo de vivienda entre medianeras</t>
  </si>
  <si>
    <t>Proyso sede</t>
  </si>
  <si>
    <t>memoria valorada y comunicación ambiental de local para sede ONG</t>
  </si>
  <si>
    <t>monjas PISITOS</t>
  </si>
  <si>
    <t>Reforma y adecuación de edificio</t>
  </si>
  <si>
    <t>Centro de menores</t>
  </si>
  <si>
    <t>MAIRENA DE ALJARAFE</t>
  </si>
  <si>
    <t>montacoches enrique</t>
  </si>
  <si>
    <t>informe sobre posibilidad de colocación de montacoches</t>
  </si>
  <si>
    <t>MANISES</t>
  </si>
  <si>
    <t>Peritaje Garaje Jose</t>
  </si>
  <si>
    <t>certificado plazas de aparcamiento</t>
  </si>
  <si>
    <t>reforma y ampliación de vivienda unifamiliar entre medianeras</t>
  </si>
  <si>
    <t>casa ramonet</t>
  </si>
  <si>
    <t>ampliación y reforma de vivienda unifamiliar entre medianeras</t>
  </si>
  <si>
    <t>expediente de legalizacion de vivienda</t>
  </si>
  <si>
    <t>LLIRIA</t>
  </si>
  <si>
    <t>expediente de legalizacion de paellero y piscina</t>
  </si>
  <si>
    <t>reforma de vivienda</t>
  </si>
  <si>
    <t>XIRIVELLA</t>
  </si>
  <si>
    <t>tienda javi tobopas</t>
  </si>
  <si>
    <t>reforma y actividad de local para tienda de ropa</t>
  </si>
  <si>
    <t>lujan certi chelva</t>
  </si>
  <si>
    <t>certificación de obra realizada</t>
  </si>
  <si>
    <t>CHELVA</t>
  </si>
  <si>
    <t>edificio de viviendas, locales y garajes</t>
  </si>
  <si>
    <t>derribo urbyagri</t>
  </si>
  <si>
    <t>Proyecto de derribo de edificio sito en c/ alberique 7 de Valencia</t>
  </si>
  <si>
    <t>REFORMA Y HABILITACION DE LOCAL PARA VIVIENDA</t>
  </si>
  <si>
    <t>NEGRÓN</t>
  </si>
  <si>
    <t>viviendas urbyagri</t>
  </si>
  <si>
    <t>10 viviendas y garajes</t>
  </si>
  <si>
    <t>Almacén agrícola y casa de campo</t>
  </si>
  <si>
    <t>certi sanchis</t>
  </si>
  <si>
    <t>certificado sobre estado constructivo para notarias</t>
  </si>
  <si>
    <t>oficina cga en turis</t>
  </si>
  <si>
    <t>reforma y actividad de oficina</t>
  </si>
  <si>
    <t>toldo en bar</t>
  </si>
  <si>
    <t>colocación de toldo en bar</t>
  </si>
  <si>
    <t>edificio de viviendas</t>
  </si>
  <si>
    <t>MONSERRAT</t>
  </si>
  <si>
    <t>certificado de estado constructivo</t>
  </si>
  <si>
    <t>certificado para cédula habitabilidad</t>
  </si>
  <si>
    <t>pescaderia juanlo</t>
  </si>
  <si>
    <t>proyecto de actividad de pescadería</t>
  </si>
  <si>
    <t>certificado para autorización de funcionamiento</t>
  </si>
  <si>
    <t>8 viviendas y garajes</t>
  </si>
  <si>
    <t>actividad de taller de carpinteria</t>
  </si>
  <si>
    <t>POLINYA DE XUQUER</t>
  </si>
  <si>
    <t>vivienda unifamiliar aislada</t>
  </si>
  <si>
    <t>MACASTRE</t>
  </si>
  <si>
    <t>javi tobopas</t>
  </si>
  <si>
    <t>30 viviendas Turis</t>
  </si>
  <si>
    <t>30 viviendas adosadas</t>
  </si>
  <si>
    <t>TITAGUAS</t>
  </si>
  <si>
    <t>acondicionamiento y edificación de tiendas para productos alimenticios</t>
  </si>
  <si>
    <t>instalación de ascensor en edificio de viviendas</t>
  </si>
  <si>
    <t>informe pino rocafor</t>
  </si>
  <si>
    <t>informe sobre arbolado invadiendo propiedad</t>
  </si>
  <si>
    <t>instalación de andamio en fachadas</t>
  </si>
  <si>
    <t>juan esteban ampliació</t>
  </si>
  <si>
    <t>ampliación de vivienda unifamiliar aislada y exp. Legalización paellero</t>
  </si>
  <si>
    <t>PERDIDO CONTACTO</t>
  </si>
  <si>
    <t>paellero y solera para casa de madera</t>
  </si>
  <si>
    <t>OLOCAU</t>
  </si>
  <si>
    <t>jesus pascual</t>
  </si>
  <si>
    <t>refuerzo estructural en planta baja</t>
  </si>
  <si>
    <t>rep viv. massarojos</t>
  </si>
  <si>
    <t>edificio de 2 viviendas entre medianeras</t>
  </si>
  <si>
    <t>bea struc</t>
  </si>
  <si>
    <t>vivienda unifamiliar entre medianeras</t>
  </si>
  <si>
    <t>general noli OFICINAS</t>
  </si>
  <si>
    <t>reforma y habilitación de local para uso oficinas</t>
  </si>
  <si>
    <t>cádiz 38</t>
  </si>
  <si>
    <t>giani bachini ASC</t>
  </si>
  <si>
    <t>instalación de ascensor entre dos pisos</t>
  </si>
  <si>
    <t>villa luján</t>
  </si>
  <si>
    <t>belen</t>
  </si>
  <si>
    <t>reforma de locales diáfanos y habilitación para viviendas</t>
  </si>
  <si>
    <t>7 viviendas unifamiliares aisladas</t>
  </si>
  <si>
    <t>CULLERA</t>
  </si>
  <si>
    <t>les blasques ED 11 viv</t>
  </si>
  <si>
    <t>Estudio de Detalle para 11 viviendas unifamiliares aisladas en parcela</t>
  </si>
  <si>
    <t>certificado de estado actual y levantamiento de planos</t>
  </si>
  <si>
    <t>10 viv les blasques</t>
  </si>
  <si>
    <t>10 viviendas unifamiliares aisladas</t>
  </si>
  <si>
    <t>reforma y ampliación de vivienda unifamiliar aislada y exp. de legalización de paellero</t>
  </si>
  <si>
    <t>viv madera montroy</t>
  </si>
  <si>
    <t>vivienda unif aislada</t>
  </si>
  <si>
    <t>eva moreno ACTIVIDAD</t>
  </si>
  <si>
    <t>reforma y habilitación de local y proyecto de actividad inocua</t>
  </si>
  <si>
    <t>c/ cruz MISLATA</t>
  </si>
  <si>
    <t>refuerzo estructural en bajos de edificio</t>
  </si>
  <si>
    <t>Certificado medición de parcela</t>
  </si>
  <si>
    <t>valoración de solar para edificación</t>
  </si>
  <si>
    <t>VILLAMARCHANTE</t>
  </si>
  <si>
    <t>13 viviendas unifamiliares adosadas</t>
  </si>
  <si>
    <t>viv unif xirivella</t>
  </si>
  <si>
    <t>camalicos hab cambra</t>
  </si>
  <si>
    <t>habilitación de cambra para vivienda</t>
  </si>
  <si>
    <t>derribo parcial, reforma interior y ampliación de vivienda unifamiliar entre medianeras</t>
  </si>
  <si>
    <t>turis</t>
  </si>
  <si>
    <t>oscar lujan DERRIBO</t>
  </si>
  <si>
    <t>proyecto de derribo de local</t>
  </si>
  <si>
    <t>bachini certificado</t>
  </si>
  <si>
    <t>certificado descriptivo de construcción aislada</t>
  </si>
  <si>
    <t>andilla</t>
  </si>
  <si>
    <t>fachada juan villarras</t>
  </si>
  <si>
    <t>Proyecto de restauración de piezas en fachada</t>
  </si>
  <si>
    <t>reforma y actividad de local para centro de fisioterapia</t>
  </si>
  <si>
    <t>enrique faus</t>
  </si>
  <si>
    <t>informe de estado de bajos de edificio</t>
  </si>
  <si>
    <t>mislata</t>
  </si>
  <si>
    <t>petición de licencia de segregación</t>
  </si>
  <si>
    <t>Reforma de local y actividad para bar restaurante sin ambientación musical</t>
  </si>
  <si>
    <t>levantamiento de planos de local comercial</t>
  </si>
  <si>
    <t>valoraciones inmobiliarias</t>
  </si>
  <si>
    <t>ribarroja</t>
  </si>
  <si>
    <t>bachiniREFORMA</t>
  </si>
  <si>
    <t>reforma de 2 viviendas en edificio</t>
  </si>
  <si>
    <t>certificado descriptivo estado actual edificación y antigüedad</t>
  </si>
  <si>
    <t>certificado sobre estado actual de edificación</t>
  </si>
  <si>
    <t>sheila perez VIV</t>
  </si>
  <si>
    <t>cadiz 37 BAR</t>
  </si>
  <si>
    <t>proyecto de reforma y actividad de bar</t>
  </si>
  <si>
    <t>ampliación de vivienda unifamilia aislada</t>
  </si>
  <si>
    <t>2 viviendas unifamiliares aisladas</t>
  </si>
  <si>
    <t>Teruel</t>
  </si>
  <si>
    <t>17 viv TORRENTE</t>
  </si>
  <si>
    <t>17 viviendas, locales y garajes</t>
  </si>
  <si>
    <t>ramon pla HABILITACION</t>
  </si>
  <si>
    <t>oscar lujan VIVIENDA</t>
  </si>
  <si>
    <t>proyecto de derribo de edificación existente</t>
  </si>
  <si>
    <t>torrente</t>
  </si>
  <si>
    <t>proyecto de derribo</t>
  </si>
  <si>
    <t>ampliación de notaria</t>
  </si>
  <si>
    <t>quart de poble</t>
  </si>
  <si>
    <t>proyecto de actividad inocua</t>
  </si>
  <si>
    <t>home english VIVIENDA</t>
  </si>
  <si>
    <t>8 viviendas unifamiliares aisladas</t>
  </si>
  <si>
    <t>candido llorente LEG</t>
  </si>
  <si>
    <t>exp. Leg. Viv. y proyecto de ampliación de vivienda</t>
  </si>
  <si>
    <t>PICASSENT</t>
  </si>
  <si>
    <t>pastor segarra</t>
  </si>
  <si>
    <t>ampliacion y reforma de vivienda unifamiliar</t>
  </si>
  <si>
    <t>chiva</t>
  </si>
  <si>
    <t>miguel higon VIV</t>
  </si>
  <si>
    <t>proyecto modificado de vivienda unifamiliar aislada</t>
  </si>
  <si>
    <t>reforma integral de vivienda entre medianeras</t>
  </si>
  <si>
    <t>cullera VIV</t>
  </si>
  <si>
    <t>expediente legalización piscina y ampliación vivienda unifamiliar</t>
  </si>
  <si>
    <t>ramon cifre VIV</t>
  </si>
  <si>
    <t>montserrat</t>
  </si>
  <si>
    <t>mª jose VIVIENDA</t>
  </si>
  <si>
    <t>YÁTOVA</t>
  </si>
  <si>
    <t>reforma de vivienda y refuerzo estructural</t>
  </si>
  <si>
    <t>benetusser</t>
  </si>
  <si>
    <t>ramón pla VIV</t>
  </si>
  <si>
    <t>planta baja almacén y cambra</t>
  </si>
  <si>
    <t>vinaymalata, parc. 158</t>
  </si>
  <si>
    <t>expediente legalización viv. Unif. Aislada y proyecto de acabado de obra</t>
  </si>
  <si>
    <t>manuel rodrigo AMPL</t>
  </si>
  <si>
    <t>ampliación de vivienda unifamiliar aislada</t>
  </si>
  <si>
    <t>calles</t>
  </si>
  <si>
    <t>edificio lujiran</t>
  </si>
  <si>
    <t>4 viviendas, 2 aticos y locales</t>
  </si>
  <si>
    <t>Benetusser</t>
  </si>
  <si>
    <t>dos aguas</t>
  </si>
  <si>
    <t>Turis</t>
  </si>
  <si>
    <t>olcina VIV</t>
  </si>
  <si>
    <t>Viv unif aislada</t>
  </si>
  <si>
    <t>Reforma de local para oficinas</t>
  </si>
  <si>
    <t>santuario montiel</t>
  </si>
  <si>
    <t>Direccion de obra de la rehabilitación del monasterio de montiel</t>
  </si>
  <si>
    <t>domingo perez</t>
  </si>
  <si>
    <t>REPAROS AYUNTAMIENTO</t>
  </si>
  <si>
    <t>severino LEG</t>
  </si>
  <si>
    <t>expediente de legalizacion de almacén</t>
  </si>
  <si>
    <t>almagro VIV</t>
  </si>
  <si>
    <t>pedro herrero LEG</t>
  </si>
  <si>
    <t>expediente de legalizacion de vivienda unifamiliar aislada</t>
  </si>
  <si>
    <t>juan gimenez VIV</t>
  </si>
  <si>
    <t>Vivienda entre medianeras</t>
  </si>
  <si>
    <t>tarrega ALMACEN</t>
  </si>
  <si>
    <t>almacén agrícola</t>
  </si>
  <si>
    <t>isabel toledo LEG</t>
  </si>
  <si>
    <t>legalizacion de obra hecha y proyecto de acabado de vivienda unifamiliar aislada</t>
  </si>
  <si>
    <t>pavicon 17 VIV</t>
  </si>
  <si>
    <t>17 viviendas unifamiliares aisladas.</t>
  </si>
  <si>
    <t>bustamante torres LEG</t>
  </si>
  <si>
    <t>legalización de obra existente y ampliacion de vivienda unifamiliar</t>
  </si>
  <si>
    <t>Chiva</t>
  </si>
  <si>
    <t>juan esteban VIV</t>
  </si>
  <si>
    <t>gines cuerda AMP</t>
  </si>
  <si>
    <t>expediente de legalizacion de local sin uso</t>
  </si>
  <si>
    <t>ramon colorao</t>
  </si>
  <si>
    <t>vicente soler DERRIBO</t>
  </si>
  <si>
    <t>derribo de edificio entre medianeras</t>
  </si>
  <si>
    <t>carlos diana VIV</t>
  </si>
  <si>
    <t>vivienda unifamiliar adosada</t>
  </si>
  <si>
    <t>REQUENA</t>
  </si>
  <si>
    <t>VJ2010 5 VIV.</t>
  </si>
  <si>
    <t>5 viviendas unifamiliares aisladas</t>
  </si>
  <si>
    <t>viña IV</t>
  </si>
  <si>
    <t>7 viviendas unifamiliares adosadas</t>
  </si>
  <si>
    <t>documentación técnica para solicitud licencias de intervención en fachadas</t>
  </si>
  <si>
    <t>rosabelen</t>
  </si>
  <si>
    <t>vj2010 2 VIV UNIF</t>
  </si>
  <si>
    <t>requeno VIV</t>
  </si>
  <si>
    <t>castellet</t>
  </si>
  <si>
    <t>13 viviendas, local y garajes</t>
  </si>
  <si>
    <t>calicanto b 24 VIV</t>
  </si>
  <si>
    <t>20 viviendas unifamiliares aisladas</t>
  </si>
  <si>
    <t>GODELLETA</t>
  </si>
  <si>
    <t>viña II</t>
  </si>
  <si>
    <t>9 viviendas unifamiliares adosadas</t>
  </si>
  <si>
    <t>adosados piuleta</t>
  </si>
  <si>
    <t>2 viviendas unifamiliares adosadas</t>
  </si>
  <si>
    <t>alarcon VIVIENDA</t>
  </si>
  <si>
    <t>vivienda unifamiliar y garaje</t>
  </si>
  <si>
    <t>juan lozano teruel VIV</t>
  </si>
  <si>
    <t>macastre CGA</t>
  </si>
  <si>
    <t>24 viviendas unifamiliares dosadas</t>
  </si>
  <si>
    <t>LES BLASQUES 24 viv</t>
  </si>
  <si>
    <t>24 viviendas unifamiliares aisladas</t>
  </si>
  <si>
    <t>macau</t>
  </si>
  <si>
    <t>miguel latorre VIV</t>
  </si>
  <si>
    <t>vivienda unifamiliar y almacen</t>
  </si>
  <si>
    <t>escolapias naquera</t>
  </si>
  <si>
    <t>Reforma y ampliación de edificación aislada y proyecto de actividad para colonia de vacaciones</t>
  </si>
  <si>
    <t>NAQUERA</t>
  </si>
  <si>
    <t>fortuna AMPLIACION</t>
  </si>
  <si>
    <t>josefina cedrón AMPLIA</t>
  </si>
  <si>
    <t>ampliación de almacen</t>
  </si>
  <si>
    <t>legalización aulas</t>
  </si>
  <si>
    <t>oficinas cps</t>
  </si>
  <si>
    <t>reforma y acondicionamiento de local para estudio de arquitectura</t>
  </si>
  <si>
    <t>reforma y habilitación de cambra para vivienda</t>
  </si>
  <si>
    <t>BURJASSOT</t>
  </si>
  <si>
    <t>informe de colocación de andamio para restauración de piezas en fachada</t>
  </si>
  <si>
    <t>lozano teruel HABILITA</t>
  </si>
  <si>
    <t>Cambio de cubierta,habilitación y ampliación de vivienda</t>
  </si>
  <si>
    <t>amparo oliva REP</t>
  </si>
  <si>
    <t>Reforma de vivienda y Refuerzo estructural</t>
  </si>
  <si>
    <t>Macastre</t>
  </si>
  <si>
    <t>pardo vila segorbe VIV</t>
  </si>
  <si>
    <t>conjunto de viviendas unifamiliares adosadas</t>
  </si>
  <si>
    <t>carrascosa CUBIERTA</t>
  </si>
  <si>
    <t>Cambio de cubierta en almacén</t>
  </si>
  <si>
    <t>ernesto garcia VIV</t>
  </si>
  <si>
    <t>proyecto de actividad para apertura de bar</t>
  </si>
  <si>
    <t>monjas TERMITAS</t>
  </si>
  <si>
    <t>memoria valorada de intervención en edificio</t>
  </si>
  <si>
    <t>trillo</t>
  </si>
  <si>
    <t>2 viviendas unifamiliares pareadas</t>
  </si>
  <si>
    <t>MUERTA</t>
  </si>
  <si>
    <t>viña I</t>
  </si>
  <si>
    <t>pardo vila OFICINAS</t>
  </si>
  <si>
    <t>Oficinas Pardo Vila en Mislata</t>
  </si>
  <si>
    <t>piscina picassent</t>
  </si>
  <si>
    <t>Piscina en parcela privada</t>
  </si>
  <si>
    <t>Albuxech</t>
  </si>
  <si>
    <t>cocina escolapias</t>
  </si>
  <si>
    <t>reforma y ampliación de cocina en colegio San José</t>
  </si>
  <si>
    <t>iglesia turis CUBIERTA</t>
  </si>
  <si>
    <t>Rehabilitación ala noreste iglesia de turis</t>
  </si>
  <si>
    <t>casas dyfo</t>
  </si>
  <si>
    <t>jaime lujan adosados</t>
  </si>
  <si>
    <t>2 viv unif adosadas</t>
  </si>
  <si>
    <t>vj2010 7 VIV UNIF</t>
  </si>
  <si>
    <t>sabater</t>
  </si>
  <si>
    <t>roberto bayona VIV</t>
  </si>
  <si>
    <t>CHIVA</t>
  </si>
  <si>
    <t>molto</t>
  </si>
  <si>
    <t>expediente de legalización de vivienda unifamiliar aislada</t>
  </si>
  <si>
    <t>ampliación vivienda en altillo</t>
  </si>
  <si>
    <t>desvio conducto</t>
  </si>
  <si>
    <t>proyecto de desvío de conducto</t>
  </si>
  <si>
    <t>inver princeps PAQUETE</t>
  </si>
  <si>
    <t>vicente verdejo REP</t>
  </si>
  <si>
    <t>refuerzo estructural, cambio de cubierta y garaje</t>
  </si>
  <si>
    <t>rehabilitación integral de edificio de viviendas</t>
  </si>
  <si>
    <t>Viña III</t>
  </si>
  <si>
    <t>4 viv unif les blasque</t>
  </si>
  <si>
    <t>4 viviendas unifamiliares aisladas</t>
  </si>
  <si>
    <t>vicente verdejo MOD</t>
  </si>
  <si>
    <t>Modificado de Rehabilitación, est, cambio de cubierta y garaje</t>
  </si>
  <si>
    <t>carmen lujan CUBIERTA</t>
  </si>
  <si>
    <t>proyecto de actividad para apertura de inmobiliaria</t>
  </si>
  <si>
    <t>fisuración cadiz 38</t>
  </si>
  <si>
    <t>inspección de fisuración en tabiquerías</t>
  </si>
  <si>
    <t>concurso Barceló</t>
  </si>
  <si>
    <t>CONCURSO de ideas abierto para la remodelación del entorno de Barceló y Santa Bárbara</t>
  </si>
  <si>
    <t>MADRID</t>
  </si>
  <si>
    <t>vicente miralles HABIL</t>
  </si>
  <si>
    <t>Habilitación del cambra para vivienda</t>
  </si>
  <si>
    <t>el colorao AMPL.</t>
  </si>
  <si>
    <t>ampliación de vivienda unifamiliar</t>
  </si>
  <si>
    <t>eva torralba VIV</t>
  </si>
  <si>
    <t>cga promociones 6 VIV</t>
  </si>
  <si>
    <t>6 viviendas unifamiliares adosadas</t>
  </si>
  <si>
    <t>actividad bar</t>
  </si>
  <si>
    <t>Proyecto de actividad de bar</t>
  </si>
  <si>
    <t>elena perez ACTIVIDAD</t>
  </si>
  <si>
    <t>proyecto de acond. de local y actividad para peluqueria</t>
  </si>
  <si>
    <t>lozala</t>
  </si>
  <si>
    <t>adapatacion y modificacion del proyecto de dos viviendas unifamiliares</t>
  </si>
  <si>
    <t>Informe técnico sobre estado de cubierta</t>
  </si>
  <si>
    <t>Cuenta: 409</t>
  </si>
  <si>
    <t>mes</t>
  </si>
  <si>
    <t>año</t>
  </si>
  <si>
    <t>DELAY1</t>
  </si>
  <si>
    <t>DELAY2</t>
  </si>
  <si>
    <t>DELAY3</t>
  </si>
  <si>
    <t>DELAY 4</t>
  </si>
  <si>
    <t>DELAY 5</t>
  </si>
  <si>
    <t>DELAY 1</t>
  </si>
  <si>
    <t>delay prospeccion-encargo</t>
  </si>
  <si>
    <t>DELAY 2</t>
  </si>
  <si>
    <t>delay inicio-entrega prospeccion</t>
  </si>
  <si>
    <t>DELAY 3</t>
  </si>
  <si>
    <t>delay inicio-entreta encargo</t>
  </si>
  <si>
    <t>delay inicio-obra encargo</t>
  </si>
  <si>
    <t>delay inicio-final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</si>
</sst>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647A0"/>
        <bgColor indexed="64"/>
      </patternFill>
    </fill>
    <fill>
      <patternFill patternType="solid">
        <fgColor rgb="FFD4E7F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4F93E3"/>
      </left>
      <right style="medium">
        <color rgb="FF4F93E3"/>
      </right>
      <top style="medium">
        <color rgb="FF4F93E3"/>
      </top>
      <bottom style="medium">
        <color rgb="FF4F93E3"/>
      </bottom>
      <diagonal/>
    </border>
    <border>
      <left style="medium">
        <color rgb="FFBFD3EE"/>
      </left>
      <right style="medium">
        <color rgb="FFBFD3EE"/>
      </right>
      <top style="medium">
        <color rgb="FFBFD3EE"/>
      </top>
      <bottom style="medium">
        <color rgb="FFBFD3EE"/>
      </bottom>
      <diagonal/>
    </border>
    <border>
      <left style="medium">
        <color rgb="FF4F93E3"/>
      </left>
      <right style="medium">
        <color rgb="FF4F93E3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33" borderId="10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9" fillId="0" borderId="0" xfId="0" applyFont="1"/>
    <xf numFmtId="0" fontId="19" fillId="0" borderId="11" xfId="0" applyFont="1" applyBorder="1" applyAlignment="1">
      <alignment wrapText="1"/>
    </xf>
    <xf numFmtId="14" fontId="19" fillId="0" borderId="11" xfId="0" applyNumberFormat="1" applyFont="1" applyBorder="1" applyAlignment="1">
      <alignment wrapText="1"/>
    </xf>
    <xf numFmtId="0" fontId="19" fillId="0" borderId="0" xfId="0" applyFont="1" applyAlignment="1">
      <alignment horizontal="right"/>
    </xf>
    <xf numFmtId="0" fontId="19" fillId="34" borderId="11" xfId="0" applyFont="1" applyFill="1" applyBorder="1" applyAlignment="1">
      <alignment wrapText="1"/>
    </xf>
    <xf numFmtId="0" fontId="19" fillId="34" borderId="0" xfId="0" applyFont="1" applyFill="1"/>
    <xf numFmtId="1" fontId="19" fillId="0" borderId="0" xfId="0" applyNumberFormat="1" applyFont="1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Hoja1!$B$5:$C$9</c:f>
              <c:multiLvlStrCache>
                <c:ptCount val="5"/>
                <c:lvl>
                  <c:pt idx="0">
                    <c:v>delay prospeccion-encargo</c:v>
                  </c:pt>
                  <c:pt idx="1">
                    <c:v>delay inicio-entrega prospeccion</c:v>
                  </c:pt>
                  <c:pt idx="2">
                    <c:v>delay inicio-entreta encargo</c:v>
                  </c:pt>
                  <c:pt idx="3">
                    <c:v>delay inicio-obra encargo</c:v>
                  </c:pt>
                  <c:pt idx="4">
                    <c:v>delay inicio-final</c:v>
                  </c:pt>
                </c:lvl>
                <c:lvl>
                  <c:pt idx="0">
                    <c:v>DELAY 1</c:v>
                  </c:pt>
                  <c:pt idx="1">
                    <c:v>DELAY 2</c:v>
                  </c:pt>
                  <c:pt idx="2">
                    <c:v>DELAY 3</c:v>
                  </c:pt>
                  <c:pt idx="3">
                    <c:v>DELAY 4</c:v>
                  </c:pt>
                  <c:pt idx="4">
                    <c:v>DELAY 5</c:v>
                  </c:pt>
                </c:lvl>
              </c:multiLvlStrCache>
            </c:multiLvlStrRef>
          </c:cat>
          <c:val>
            <c:numRef>
              <c:f>Hoja1!$D$5:$D$9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Hoja1!$B$5:$C$9</c:f>
              <c:multiLvlStrCache>
                <c:ptCount val="5"/>
                <c:lvl>
                  <c:pt idx="0">
                    <c:v>delay prospeccion-encargo</c:v>
                  </c:pt>
                  <c:pt idx="1">
                    <c:v>delay inicio-entrega prospeccion</c:v>
                  </c:pt>
                  <c:pt idx="2">
                    <c:v>delay inicio-entreta encargo</c:v>
                  </c:pt>
                  <c:pt idx="3">
                    <c:v>delay inicio-obra encargo</c:v>
                  </c:pt>
                  <c:pt idx="4">
                    <c:v>delay inicio-final</c:v>
                  </c:pt>
                </c:lvl>
                <c:lvl>
                  <c:pt idx="0">
                    <c:v>DELAY 1</c:v>
                  </c:pt>
                  <c:pt idx="1">
                    <c:v>DELAY 2</c:v>
                  </c:pt>
                  <c:pt idx="2">
                    <c:v>DELAY 3</c:v>
                  </c:pt>
                  <c:pt idx="3">
                    <c:v>DELAY 4</c:v>
                  </c:pt>
                  <c:pt idx="4">
                    <c:v>DELAY 5</c:v>
                  </c:pt>
                </c:lvl>
              </c:multiLvlStrCache>
            </c:multiLvlStrRef>
          </c:cat>
          <c:val>
            <c:numRef>
              <c:f>Hoja1!$E$5:$E$9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ot"/>
            <c:size val="12"/>
            <c:spPr>
              <a:solidFill>
                <a:schemeClr val="accent1"/>
              </a:solidFill>
            </c:spPr>
          </c:marker>
          <c:cat>
            <c:multiLvlStrRef>
              <c:f>Hoja1!$B$5:$C$9</c:f>
              <c:multiLvlStrCache>
                <c:ptCount val="5"/>
                <c:lvl>
                  <c:pt idx="0">
                    <c:v>delay prospeccion-encargo</c:v>
                  </c:pt>
                  <c:pt idx="1">
                    <c:v>delay inicio-entrega prospeccion</c:v>
                  </c:pt>
                  <c:pt idx="2">
                    <c:v>delay inicio-entreta encargo</c:v>
                  </c:pt>
                  <c:pt idx="3">
                    <c:v>delay inicio-obra encargo</c:v>
                  </c:pt>
                  <c:pt idx="4">
                    <c:v>delay inicio-final</c:v>
                  </c:pt>
                </c:lvl>
                <c:lvl>
                  <c:pt idx="0">
                    <c:v>DELAY 1</c:v>
                  </c:pt>
                  <c:pt idx="1">
                    <c:v>DELAY 2</c:v>
                  </c:pt>
                  <c:pt idx="2">
                    <c:v>DELAY 3</c:v>
                  </c:pt>
                  <c:pt idx="3">
                    <c:v>DELAY 4</c:v>
                  </c:pt>
                  <c:pt idx="4">
                    <c:v>DELAY 5</c:v>
                  </c:pt>
                </c:lvl>
              </c:multiLvlStrCache>
            </c:multiLvlStrRef>
          </c:cat>
          <c:val>
            <c:numRef>
              <c:f>Hoja1!$F$5:$F$9</c:f>
              <c:numCache>
                <c:formatCode>0</c:formatCode>
                <c:ptCount val="5"/>
                <c:pt idx="0">
                  <c:v>117.70967741935483</c:v>
                </c:pt>
                <c:pt idx="1">
                  <c:v>96.1875</c:v>
                </c:pt>
                <c:pt idx="2">
                  <c:v>23.142857142857142</c:v>
                </c:pt>
                <c:pt idx="3">
                  <c:v>53</c:v>
                </c:pt>
                <c:pt idx="4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62627328"/>
        <c:axId val="560441600"/>
      </c:stockChart>
      <c:catAx>
        <c:axId val="6262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560441600"/>
        <c:crosses val="autoZero"/>
        <c:auto val="1"/>
        <c:lblAlgn val="ctr"/>
        <c:lblOffset val="100"/>
        <c:noMultiLvlLbl val="0"/>
      </c:catAx>
      <c:valAx>
        <c:axId val="56044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62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152400</xdr:rowOff>
    </xdr:from>
    <xdr:to>
      <xdr:col>7</xdr:col>
      <xdr:colOff>0</xdr:colOff>
      <xdr:row>25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"/>
  <sheetViews>
    <sheetView tabSelected="1" workbookViewId="0">
      <selection activeCell="J16" sqref="J16"/>
    </sheetView>
  </sheetViews>
  <sheetFormatPr baseColWidth="10" defaultRowHeight="15" x14ac:dyDescent="0.25"/>
  <sheetData>
    <row r="5" spans="2:6" x14ac:dyDescent="0.25">
      <c r="B5" t="s">
        <v>685</v>
      </c>
      <c r="C5" t="s">
        <v>686</v>
      </c>
      <c r="F5" s="9">
        <v>117.70967741935483</v>
      </c>
    </row>
    <row r="6" spans="2:6" x14ac:dyDescent="0.25">
      <c r="B6" t="s">
        <v>687</v>
      </c>
      <c r="C6" t="s">
        <v>688</v>
      </c>
      <c r="F6" s="9">
        <v>96.1875</v>
      </c>
    </row>
    <row r="7" spans="2:6" x14ac:dyDescent="0.25">
      <c r="B7" t="s">
        <v>689</v>
      </c>
      <c r="C7" t="s">
        <v>690</v>
      </c>
      <c r="F7" s="9">
        <v>23.142857142857142</v>
      </c>
    </row>
    <row r="8" spans="2:6" x14ac:dyDescent="0.25">
      <c r="B8" t="s">
        <v>683</v>
      </c>
      <c r="C8" t="s">
        <v>691</v>
      </c>
      <c r="F8" s="9">
        <v>53</v>
      </c>
    </row>
    <row r="9" spans="2:6" x14ac:dyDescent="0.25">
      <c r="B9" t="s">
        <v>684</v>
      </c>
      <c r="C9" t="s">
        <v>692</v>
      </c>
      <c r="F9" s="9">
        <v>82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5"/>
  <sheetViews>
    <sheetView showGridLines="0" topLeftCell="H22" workbookViewId="0">
      <selection activeCell="O43" sqref="O43:S43"/>
    </sheetView>
  </sheetViews>
  <sheetFormatPr baseColWidth="10" defaultRowHeight="14.1" customHeight="1" x14ac:dyDescent="0.2"/>
  <cols>
    <col min="1" max="1" width="9.5703125" style="3" customWidth="1"/>
    <col min="2" max="2" width="10.5703125" style="3" customWidth="1"/>
    <col min="3" max="3" width="11.5703125" style="3" customWidth="1"/>
    <col min="4" max="4" width="12.140625" style="3" bestFit="1" customWidth="1"/>
    <col min="5" max="8" width="10.42578125" style="3" bestFit="1" customWidth="1"/>
    <col min="9" max="9" width="21" style="3" bestFit="1" customWidth="1"/>
    <col min="10" max="10" width="30.42578125" style="3" customWidth="1"/>
    <col min="11" max="11" width="10.140625" style="3" customWidth="1"/>
    <col min="12" max="12" width="9.5703125" style="3" customWidth="1"/>
    <col min="13" max="13" width="3.7109375" style="3" customWidth="1"/>
    <col min="14" max="14" width="4.28515625" style="3" customWidth="1"/>
    <col min="15" max="15" width="8.28515625" style="3" customWidth="1"/>
    <col min="16" max="16" width="6.7109375" style="3" customWidth="1"/>
    <col min="17" max="17" width="8.140625" style="6" customWidth="1"/>
    <col min="18" max="18" width="7.85546875" style="6" customWidth="1"/>
    <col min="19" max="19" width="8" style="3" customWidth="1"/>
    <col min="20" max="16384" width="11.42578125" style="3"/>
  </cols>
  <sheetData>
    <row r="1" spans="1:19" ht="14.1" customHeight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678</v>
      </c>
      <c r="N1" s="2" t="s">
        <v>679</v>
      </c>
      <c r="O1" s="2" t="s">
        <v>680</v>
      </c>
      <c r="P1" s="1" t="s">
        <v>681</v>
      </c>
      <c r="Q1" s="1" t="s">
        <v>682</v>
      </c>
      <c r="R1" s="1" t="s">
        <v>683</v>
      </c>
      <c r="S1" s="1" t="s">
        <v>684</v>
      </c>
    </row>
    <row r="2" spans="1:19" ht="14.1" customHeight="1" thickBot="1" x14ac:dyDescent="0.25">
      <c r="A2" s="4" t="s">
        <v>12</v>
      </c>
      <c r="B2" s="5">
        <v>42269</v>
      </c>
      <c r="C2" s="4"/>
      <c r="D2" s="4" t="str">
        <f>"15032"</f>
        <v>15032</v>
      </c>
      <c r="E2" s="5">
        <v>42270</v>
      </c>
      <c r="F2" s="4"/>
      <c r="G2" s="4"/>
      <c r="H2" s="4"/>
      <c r="I2" s="4" t="s">
        <v>13</v>
      </c>
      <c r="J2" s="4" t="s">
        <v>14</v>
      </c>
      <c r="K2" s="4" t="s">
        <v>15</v>
      </c>
      <c r="L2" s="4" t="s">
        <v>16</v>
      </c>
      <c r="M2" s="3" t="str">
        <f>IF(H2 = "","",MONTH(H2))</f>
        <v/>
      </c>
      <c r="N2" s="3" t="str">
        <f>IF(H2 = "","",YEAR(H2))</f>
        <v/>
      </c>
      <c r="O2" s="6">
        <f>IF(B2="","-",IF(E2="","-",DAYS360(B2,E2)))</f>
        <v>1</v>
      </c>
      <c r="P2" s="6" t="str">
        <f>IF(C2="","-",IF(E2="","-",DAYS360(C2,E2)))</f>
        <v>-</v>
      </c>
      <c r="Q2" s="6" t="str">
        <f>IF(E2="","-",IF(F2="","-",DAYS360(E2,F2)))</f>
        <v>-</v>
      </c>
      <c r="R2" s="6" t="str">
        <f>IF(E2="","-",IF(G2="","-",DAYS360(E2,G2)))</f>
        <v>-</v>
      </c>
      <c r="S2" s="6" t="str">
        <f>IF(E2="","-",IF(H2="","-",DAYS360(E2,H2)))</f>
        <v>-</v>
      </c>
    </row>
    <row r="3" spans="1:19" ht="14.1" customHeight="1" thickBot="1" x14ac:dyDescent="0.25">
      <c r="A3" s="4" t="s">
        <v>17</v>
      </c>
      <c r="B3" s="5">
        <v>42254</v>
      </c>
      <c r="C3" s="5">
        <v>42256</v>
      </c>
      <c r="D3" s="4" t="str">
        <f>"15030"</f>
        <v>15030</v>
      </c>
      <c r="E3" s="5">
        <v>42263</v>
      </c>
      <c r="F3" s="5">
        <v>42277</v>
      </c>
      <c r="G3" s="4"/>
      <c r="H3" s="4"/>
      <c r="I3" s="4" t="s">
        <v>18</v>
      </c>
      <c r="J3" s="4" t="s">
        <v>19</v>
      </c>
      <c r="K3" s="4" t="s">
        <v>20</v>
      </c>
      <c r="L3" s="4" t="s">
        <v>21</v>
      </c>
      <c r="M3" s="3" t="str">
        <f>IF(H3 = "","",MONTH(H3))</f>
        <v/>
      </c>
      <c r="N3" s="3" t="str">
        <f>IF(H3 = "","",YEAR(H3))</f>
        <v/>
      </c>
      <c r="O3" s="6">
        <f t="shared" ref="O3:O72" si="0">IF(B3="","-",IF(E3="","-",DAYS360(B3,E3)))</f>
        <v>9</v>
      </c>
      <c r="P3" s="6">
        <f t="shared" ref="P3:P72" si="1">IF(C3="","-",IF(E3="","-",DAYS360(C3,E3)))</f>
        <v>7</v>
      </c>
      <c r="Q3" s="6">
        <f t="shared" ref="Q3:Q72" si="2">IF(E3="","-",IF(F3="","-",DAYS360(E3,F3)))</f>
        <v>14</v>
      </c>
      <c r="R3" s="6" t="str">
        <f t="shared" ref="R3:R72" si="3">IF(E3="","-",IF(G3="","-",DAYS360(E3,G3)))</f>
        <v>-</v>
      </c>
      <c r="S3" s="6" t="str">
        <f t="shared" ref="S3:S72" si="4">IF(E3="","-",IF(H3="","-",DAYS360(E3,H3)))</f>
        <v>-</v>
      </c>
    </row>
    <row r="4" spans="1:19" ht="14.1" customHeight="1" thickBot="1" x14ac:dyDescent="0.25">
      <c r="A4" s="4" t="s">
        <v>22</v>
      </c>
      <c r="B4" s="5">
        <v>42250</v>
      </c>
      <c r="C4" s="4"/>
      <c r="D4" s="4" t="str">
        <f>"15039"</f>
        <v>15039</v>
      </c>
      <c r="E4" s="5">
        <v>42319</v>
      </c>
      <c r="F4" s="4"/>
      <c r="G4" s="4"/>
      <c r="H4" s="4"/>
      <c r="I4" s="4" t="s">
        <v>23</v>
      </c>
      <c r="J4" s="4" t="s">
        <v>24</v>
      </c>
      <c r="K4" s="4" t="s">
        <v>25</v>
      </c>
      <c r="L4" s="4" t="s">
        <v>26</v>
      </c>
      <c r="M4" s="3" t="str">
        <f>IF(H4 = "","",MONTH(H4))</f>
        <v/>
      </c>
      <c r="N4" s="3" t="str">
        <f>IF(H4 = "","",YEAR(H4))</f>
        <v/>
      </c>
      <c r="O4" s="6">
        <f t="shared" si="0"/>
        <v>68</v>
      </c>
      <c r="P4" s="6" t="str">
        <f t="shared" si="1"/>
        <v>-</v>
      </c>
      <c r="Q4" s="6" t="str">
        <f t="shared" si="2"/>
        <v>-</v>
      </c>
      <c r="R4" s="6" t="str">
        <f t="shared" si="3"/>
        <v>-</v>
      </c>
      <c r="S4" s="6" t="str">
        <f t="shared" si="4"/>
        <v>-</v>
      </c>
    </row>
    <row r="5" spans="1:19" ht="14.1" customHeight="1" thickBot="1" x14ac:dyDescent="0.25">
      <c r="A5" s="4" t="s">
        <v>27</v>
      </c>
      <c r="B5" s="5">
        <v>42247</v>
      </c>
      <c r="C5" s="5">
        <v>42248</v>
      </c>
      <c r="D5" s="4" t="str">
        <f>"15029"</f>
        <v>15029</v>
      </c>
      <c r="E5" s="5">
        <v>42254</v>
      </c>
      <c r="F5" s="4"/>
      <c r="G5" s="4"/>
      <c r="H5" s="4"/>
      <c r="I5" s="4" t="s">
        <v>28</v>
      </c>
      <c r="J5" s="4" t="s">
        <v>29</v>
      </c>
      <c r="K5" s="4" t="s">
        <v>20</v>
      </c>
      <c r="L5" s="4" t="s">
        <v>30</v>
      </c>
      <c r="M5" s="3" t="str">
        <f>IF(H5 = "","",MONTH(H5))</f>
        <v/>
      </c>
      <c r="N5" s="3" t="str">
        <f>IF(H5 = "","",YEAR(H5))</f>
        <v/>
      </c>
      <c r="O5" s="6">
        <f t="shared" si="0"/>
        <v>7</v>
      </c>
      <c r="P5" s="6">
        <f t="shared" si="1"/>
        <v>6</v>
      </c>
      <c r="Q5" s="6" t="str">
        <f t="shared" si="2"/>
        <v>-</v>
      </c>
      <c r="R5" s="6" t="str">
        <f t="shared" si="3"/>
        <v>-</v>
      </c>
      <c r="S5" s="6" t="str">
        <f t="shared" si="4"/>
        <v>-</v>
      </c>
    </row>
    <row r="6" spans="1:19" ht="14.1" customHeight="1" thickBot="1" x14ac:dyDescent="0.25">
      <c r="A6" s="4" t="s">
        <v>31</v>
      </c>
      <c r="B6" s="5">
        <v>42234</v>
      </c>
      <c r="C6" s="5">
        <v>42250</v>
      </c>
      <c r="D6" s="4" t="str">
        <f>"15028"</f>
        <v>15028</v>
      </c>
      <c r="E6" s="5">
        <v>42262</v>
      </c>
      <c r="F6" s="5">
        <v>42271</v>
      </c>
      <c r="G6" s="4"/>
      <c r="H6" s="4"/>
      <c r="I6" s="4" t="s">
        <v>32</v>
      </c>
      <c r="J6" s="4" t="s">
        <v>33</v>
      </c>
      <c r="K6" s="4" t="s">
        <v>34</v>
      </c>
      <c r="L6" s="4" t="s">
        <v>21</v>
      </c>
      <c r="M6" s="3" t="str">
        <f>IF(H6 = "","",MONTH(H6))</f>
        <v/>
      </c>
      <c r="N6" s="3" t="str">
        <f>IF(H6 = "","",YEAR(H6))</f>
        <v/>
      </c>
      <c r="O6" s="6">
        <f t="shared" si="0"/>
        <v>27</v>
      </c>
      <c r="P6" s="6">
        <f t="shared" si="1"/>
        <v>12</v>
      </c>
      <c r="Q6" s="6">
        <f t="shared" si="2"/>
        <v>9</v>
      </c>
      <c r="R6" s="6" t="str">
        <f t="shared" si="3"/>
        <v>-</v>
      </c>
      <c r="S6" s="6" t="str">
        <f t="shared" si="4"/>
        <v>-</v>
      </c>
    </row>
    <row r="7" spans="1:19" ht="14.1" customHeight="1" thickBot="1" x14ac:dyDescent="0.25">
      <c r="A7" s="4" t="s">
        <v>35</v>
      </c>
      <c r="B7" s="5">
        <v>42221</v>
      </c>
      <c r="C7" s="5">
        <v>42290</v>
      </c>
      <c r="D7" s="4" t="str">
        <f>"15038"</f>
        <v>15038</v>
      </c>
      <c r="E7" s="5">
        <v>42310</v>
      </c>
      <c r="F7" s="4"/>
      <c r="G7" s="4"/>
      <c r="H7" s="4"/>
      <c r="I7" s="4" t="s">
        <v>36</v>
      </c>
      <c r="J7" s="4" t="s">
        <v>24</v>
      </c>
      <c r="K7" s="4" t="s">
        <v>25</v>
      </c>
      <c r="L7" s="4" t="s">
        <v>16</v>
      </c>
      <c r="M7" s="3" t="str">
        <f>IF(H7 = "","",MONTH(H7))</f>
        <v/>
      </c>
      <c r="N7" s="3" t="str">
        <f>IF(H7 = "","",YEAR(H7))</f>
        <v/>
      </c>
      <c r="O7" s="6">
        <f t="shared" si="0"/>
        <v>87</v>
      </c>
      <c r="P7" s="6">
        <f t="shared" si="1"/>
        <v>19</v>
      </c>
      <c r="Q7" s="6" t="str">
        <f t="shared" si="2"/>
        <v>-</v>
      </c>
      <c r="R7" s="6" t="str">
        <f t="shared" si="3"/>
        <v>-</v>
      </c>
      <c r="S7" s="6" t="str">
        <f t="shared" si="4"/>
        <v>-</v>
      </c>
    </row>
    <row r="8" spans="1:19" ht="14.1" customHeight="1" thickBot="1" x14ac:dyDescent="0.25">
      <c r="A8" s="4" t="str">
        <f>"15136"</f>
        <v>15136</v>
      </c>
      <c r="B8" s="5">
        <v>42207</v>
      </c>
      <c r="C8" s="4"/>
      <c r="D8" s="4" t="str">
        <f>"15018"</f>
        <v>15018</v>
      </c>
      <c r="E8" s="4"/>
      <c r="F8" s="4"/>
      <c r="G8" s="4"/>
      <c r="H8" s="5">
        <v>42142</v>
      </c>
      <c r="I8" s="4" t="s">
        <v>37</v>
      </c>
      <c r="J8" s="4" t="s">
        <v>38</v>
      </c>
      <c r="K8" s="4" t="s">
        <v>39</v>
      </c>
      <c r="L8" s="4" t="s">
        <v>21</v>
      </c>
      <c r="M8" s="3">
        <f>IF(H8 = "","",MONTH(H8))</f>
        <v>5</v>
      </c>
      <c r="N8" s="3">
        <f>IF(H8 = "","",YEAR(H8))</f>
        <v>2015</v>
      </c>
      <c r="O8" s="6" t="str">
        <f t="shared" si="0"/>
        <v>-</v>
      </c>
      <c r="P8" s="6" t="str">
        <f t="shared" si="1"/>
        <v>-</v>
      </c>
      <c r="Q8" s="6" t="str">
        <f t="shared" si="2"/>
        <v>-</v>
      </c>
      <c r="R8" s="6" t="str">
        <f t="shared" si="3"/>
        <v>-</v>
      </c>
      <c r="S8" s="6" t="str">
        <f t="shared" si="4"/>
        <v>-</v>
      </c>
    </row>
    <row r="9" spans="1:19" ht="14.1" customHeight="1" thickBot="1" x14ac:dyDescent="0.25">
      <c r="A9" s="4" t="str">
        <f>"15141"</f>
        <v>15141</v>
      </c>
      <c r="B9" s="5">
        <v>42207</v>
      </c>
      <c r="C9" s="4"/>
      <c r="D9" s="4" t="str">
        <f>"15016"</f>
        <v>15016</v>
      </c>
      <c r="E9" s="4"/>
      <c r="F9" s="4"/>
      <c r="G9" s="4"/>
      <c r="H9" s="4"/>
      <c r="I9" s="4" t="s">
        <v>40</v>
      </c>
      <c r="J9" s="4" t="s">
        <v>38</v>
      </c>
      <c r="K9" s="4" t="s">
        <v>39</v>
      </c>
      <c r="L9" s="4" t="s">
        <v>21</v>
      </c>
      <c r="M9" s="3" t="str">
        <f>IF(H9 = "","",MONTH(H9))</f>
        <v/>
      </c>
      <c r="N9" s="3" t="str">
        <f>IF(H9 = "","",YEAR(H9))</f>
        <v/>
      </c>
      <c r="O9" s="6" t="str">
        <f t="shared" si="0"/>
        <v>-</v>
      </c>
      <c r="P9" s="6" t="str">
        <f t="shared" si="1"/>
        <v>-</v>
      </c>
      <c r="Q9" s="6" t="str">
        <f t="shared" si="2"/>
        <v>-</v>
      </c>
      <c r="R9" s="6" t="str">
        <f t="shared" si="3"/>
        <v>-</v>
      </c>
      <c r="S9" s="6" t="str">
        <f t="shared" si="4"/>
        <v>-</v>
      </c>
    </row>
    <row r="10" spans="1:19" ht="14.1" customHeight="1" thickBot="1" x14ac:dyDescent="0.25">
      <c r="A10" s="4" t="str">
        <f>"15122"</f>
        <v>15122</v>
      </c>
      <c r="B10" s="5">
        <v>42207</v>
      </c>
      <c r="C10" s="4"/>
      <c r="D10" s="4" t="str">
        <f>"15019"</f>
        <v>15019</v>
      </c>
      <c r="E10" s="5">
        <v>42144</v>
      </c>
      <c r="F10" s="4"/>
      <c r="G10" s="4"/>
      <c r="H10" s="4"/>
      <c r="I10" s="4" t="s">
        <v>41</v>
      </c>
      <c r="J10" s="4" t="s">
        <v>42</v>
      </c>
      <c r="K10" s="4" t="s">
        <v>39</v>
      </c>
      <c r="L10" s="4" t="s">
        <v>43</v>
      </c>
      <c r="M10" s="3" t="str">
        <f>IF(H10 = "","",MONTH(H10))</f>
        <v/>
      </c>
      <c r="N10" s="3" t="str">
        <f>IF(H10 = "","",YEAR(H10))</f>
        <v/>
      </c>
      <c r="O10" s="6">
        <f t="shared" si="0"/>
        <v>-62</v>
      </c>
      <c r="P10" s="6" t="str">
        <f t="shared" si="1"/>
        <v>-</v>
      </c>
      <c r="Q10" s="6" t="str">
        <f t="shared" si="2"/>
        <v>-</v>
      </c>
      <c r="R10" s="6" t="str">
        <f t="shared" si="3"/>
        <v>-</v>
      </c>
      <c r="S10" s="6" t="str">
        <f t="shared" si="4"/>
        <v>-</v>
      </c>
    </row>
    <row r="11" spans="1:19" ht="14.1" customHeight="1" thickBot="1" x14ac:dyDescent="0.25">
      <c r="A11" s="4" t="str">
        <f>"15130"</f>
        <v>15130</v>
      </c>
      <c r="B11" s="5">
        <v>42207</v>
      </c>
      <c r="C11" s="4"/>
      <c r="D11" s="4" t="str">
        <f>"15017"</f>
        <v>15017</v>
      </c>
      <c r="E11" s="5">
        <v>42207</v>
      </c>
      <c r="F11" s="5">
        <v>42251</v>
      </c>
      <c r="G11" s="4"/>
      <c r="H11" s="4"/>
      <c r="I11" s="4" t="s">
        <v>44</v>
      </c>
      <c r="J11" s="4" t="s">
        <v>45</v>
      </c>
      <c r="K11" s="4" t="s">
        <v>46</v>
      </c>
      <c r="L11" s="4" t="s">
        <v>47</v>
      </c>
      <c r="M11" s="3" t="str">
        <f>IF(H11 = "","",MONTH(H11))</f>
        <v/>
      </c>
      <c r="N11" s="3" t="str">
        <f>IF(H11 = "","",YEAR(H11))</f>
        <v/>
      </c>
      <c r="O11" s="6">
        <f t="shared" si="0"/>
        <v>0</v>
      </c>
      <c r="P11" s="6" t="str">
        <f t="shared" si="1"/>
        <v>-</v>
      </c>
      <c r="Q11" s="6">
        <f t="shared" si="2"/>
        <v>42</v>
      </c>
      <c r="R11" s="6" t="str">
        <f t="shared" si="3"/>
        <v>-</v>
      </c>
      <c r="S11" s="6" t="str">
        <f t="shared" si="4"/>
        <v>-</v>
      </c>
    </row>
    <row r="12" spans="1:19" ht="14.1" customHeight="1" thickBot="1" x14ac:dyDescent="0.25">
      <c r="A12" s="4" t="str">
        <f>"15129"</f>
        <v>15129</v>
      </c>
      <c r="B12" s="5">
        <v>42207</v>
      </c>
      <c r="C12" s="4"/>
      <c r="D12" s="4" t="str">
        <f>"15024"</f>
        <v>15024</v>
      </c>
      <c r="E12" s="4"/>
      <c r="F12" s="5">
        <v>42187</v>
      </c>
      <c r="G12" s="5">
        <v>42191</v>
      </c>
      <c r="H12" s="5">
        <v>42278</v>
      </c>
      <c r="I12" s="4" t="s">
        <v>48</v>
      </c>
      <c r="J12" s="4" t="s">
        <v>42</v>
      </c>
      <c r="K12" s="4" t="s">
        <v>39</v>
      </c>
      <c r="L12" s="4" t="s">
        <v>21</v>
      </c>
      <c r="M12" s="3">
        <f>IF(H12 = "","",MONTH(H12))</f>
        <v>10</v>
      </c>
      <c r="N12" s="3">
        <f>IF(H12 = "","",YEAR(H12))</f>
        <v>2015</v>
      </c>
      <c r="O12" s="6" t="str">
        <f t="shared" si="0"/>
        <v>-</v>
      </c>
      <c r="P12" s="6" t="str">
        <f t="shared" si="1"/>
        <v>-</v>
      </c>
      <c r="Q12" s="6" t="str">
        <f t="shared" si="2"/>
        <v>-</v>
      </c>
      <c r="R12" s="6" t="str">
        <f t="shared" si="3"/>
        <v>-</v>
      </c>
      <c r="S12" s="6" t="str">
        <f t="shared" si="4"/>
        <v>-</v>
      </c>
    </row>
    <row r="13" spans="1:19" ht="14.1" customHeight="1" thickBot="1" x14ac:dyDescent="0.25">
      <c r="A13" s="4" t="str">
        <f>"15112"</f>
        <v>15112</v>
      </c>
      <c r="B13" s="5">
        <v>42205</v>
      </c>
      <c r="C13" s="4"/>
      <c r="D13" s="4" t="str">
        <f>"15020"</f>
        <v>15020</v>
      </c>
      <c r="E13" s="5">
        <v>42248</v>
      </c>
      <c r="F13" s="5">
        <v>42276</v>
      </c>
      <c r="G13" s="5">
        <v>42291</v>
      </c>
      <c r="H13" s="4"/>
      <c r="I13" s="4" t="s">
        <v>49</v>
      </c>
      <c r="J13" s="4" t="s">
        <v>24</v>
      </c>
      <c r="K13" s="4" t="s">
        <v>39</v>
      </c>
      <c r="L13" s="4" t="s">
        <v>50</v>
      </c>
      <c r="M13" s="3" t="str">
        <f>IF(H13 = "","",MONTH(H13))</f>
        <v/>
      </c>
      <c r="N13" s="3" t="str">
        <f>IF(H13 = "","",YEAR(H13))</f>
        <v/>
      </c>
      <c r="O13" s="6">
        <f t="shared" si="0"/>
        <v>41</v>
      </c>
      <c r="P13" s="6" t="str">
        <f t="shared" si="1"/>
        <v>-</v>
      </c>
      <c r="Q13" s="6">
        <f t="shared" si="2"/>
        <v>28</v>
      </c>
      <c r="R13" s="6">
        <f t="shared" si="3"/>
        <v>43</v>
      </c>
      <c r="S13" s="6" t="str">
        <f t="shared" si="4"/>
        <v>-</v>
      </c>
    </row>
    <row r="14" spans="1:19" ht="14.1" customHeight="1" thickBot="1" x14ac:dyDescent="0.25">
      <c r="A14" s="4" t="s">
        <v>51</v>
      </c>
      <c r="B14" s="5">
        <v>42186</v>
      </c>
      <c r="C14" s="4"/>
      <c r="D14" s="4" t="str">
        <f>"15034"</f>
        <v>15034</v>
      </c>
      <c r="E14" s="5">
        <v>42278</v>
      </c>
      <c r="F14" s="5">
        <v>42290</v>
      </c>
      <c r="G14" s="4"/>
      <c r="H14" s="4"/>
      <c r="I14" s="4" t="s">
        <v>52</v>
      </c>
      <c r="J14" s="4" t="s">
        <v>53</v>
      </c>
      <c r="K14" s="4" t="s">
        <v>54</v>
      </c>
      <c r="L14" s="4" t="s">
        <v>21</v>
      </c>
      <c r="M14" s="3" t="str">
        <f>IF(H14 = "","",MONTH(H14))</f>
        <v/>
      </c>
      <c r="N14" s="3" t="str">
        <f>IF(H14 = "","",YEAR(H14))</f>
        <v/>
      </c>
      <c r="O14" s="6">
        <f t="shared" si="0"/>
        <v>90</v>
      </c>
      <c r="P14" s="6" t="str">
        <f t="shared" si="1"/>
        <v>-</v>
      </c>
      <c r="Q14" s="6">
        <f t="shared" si="2"/>
        <v>12</v>
      </c>
      <c r="R14" s="6" t="str">
        <f t="shared" si="3"/>
        <v>-</v>
      </c>
      <c r="S14" s="6" t="str">
        <f t="shared" si="4"/>
        <v>-</v>
      </c>
    </row>
    <row r="15" spans="1:19" ht="14.1" customHeight="1" thickBot="1" x14ac:dyDescent="0.25">
      <c r="A15" s="4" t="str">
        <f>"15162"</f>
        <v>15162</v>
      </c>
      <c r="B15" s="5">
        <v>42163</v>
      </c>
      <c r="C15" s="4"/>
      <c r="D15" s="4" t="str">
        <f>"15023"</f>
        <v>15023</v>
      </c>
      <c r="E15" s="5">
        <v>42199</v>
      </c>
      <c r="F15" s="5">
        <v>42205</v>
      </c>
      <c r="G15" s="5">
        <v>42278</v>
      </c>
      <c r="H15" s="4"/>
      <c r="I15" s="4" t="s">
        <v>55</v>
      </c>
      <c r="J15" s="4" t="s">
        <v>42</v>
      </c>
      <c r="K15" s="4" t="s">
        <v>56</v>
      </c>
      <c r="L15" s="4" t="s">
        <v>50</v>
      </c>
      <c r="M15" s="3" t="str">
        <f>IF(H15 = "","",MONTH(H15))</f>
        <v/>
      </c>
      <c r="N15" s="3" t="str">
        <f>IF(H15 = "","",YEAR(H15))</f>
        <v/>
      </c>
      <c r="O15" s="6">
        <f t="shared" si="0"/>
        <v>36</v>
      </c>
      <c r="P15" s="6" t="str">
        <f t="shared" si="1"/>
        <v>-</v>
      </c>
      <c r="Q15" s="6">
        <f t="shared" si="2"/>
        <v>6</v>
      </c>
      <c r="R15" s="6">
        <f t="shared" si="3"/>
        <v>77</v>
      </c>
      <c r="S15" s="6" t="str">
        <f t="shared" si="4"/>
        <v>-</v>
      </c>
    </row>
    <row r="16" spans="1:19" ht="14.1" customHeight="1" thickBot="1" x14ac:dyDescent="0.25">
      <c r="A16" s="4" t="str">
        <f>"15157"</f>
        <v>15157</v>
      </c>
      <c r="B16" s="5">
        <v>42150</v>
      </c>
      <c r="C16" s="4"/>
      <c r="D16" s="4" t="str">
        <f>"15022"</f>
        <v>15022</v>
      </c>
      <c r="E16" s="4"/>
      <c r="F16" s="5">
        <v>42153</v>
      </c>
      <c r="G16" s="4"/>
      <c r="H16" s="4"/>
      <c r="I16" s="4" t="s">
        <v>57</v>
      </c>
      <c r="J16" s="4" t="s">
        <v>38</v>
      </c>
      <c r="K16" s="4" t="s">
        <v>46</v>
      </c>
      <c r="L16" s="4" t="s">
        <v>21</v>
      </c>
      <c r="M16" s="3" t="str">
        <f>IF(H16 = "","",MONTH(H16))</f>
        <v/>
      </c>
      <c r="N16" s="3" t="str">
        <f>IF(H16 = "","",YEAR(H16))</f>
        <v/>
      </c>
      <c r="O16" s="6" t="str">
        <f t="shared" si="0"/>
        <v>-</v>
      </c>
      <c r="P16" s="6" t="str">
        <f t="shared" si="1"/>
        <v>-</v>
      </c>
      <c r="Q16" s="6" t="str">
        <f t="shared" si="2"/>
        <v>-</v>
      </c>
      <c r="R16" s="6" t="str">
        <f t="shared" si="3"/>
        <v>-</v>
      </c>
      <c r="S16" s="6" t="str">
        <f t="shared" si="4"/>
        <v>-</v>
      </c>
    </row>
    <row r="17" spans="1:19" ht="14.1" customHeight="1" thickBot="1" x14ac:dyDescent="0.25">
      <c r="A17" s="4" t="str">
        <f>"15158"</f>
        <v>15158</v>
      </c>
      <c r="B17" s="5">
        <v>42149</v>
      </c>
      <c r="C17" s="4"/>
      <c r="D17" s="4" t="str">
        <f>"15021"</f>
        <v>15021</v>
      </c>
      <c r="E17" s="4"/>
      <c r="F17" s="5">
        <v>42152</v>
      </c>
      <c r="G17" s="4"/>
      <c r="H17" s="4"/>
      <c r="I17" s="4" t="s">
        <v>58</v>
      </c>
      <c r="J17" s="4" t="s">
        <v>38</v>
      </c>
      <c r="K17" s="4" t="s">
        <v>56</v>
      </c>
      <c r="L17" s="4" t="s">
        <v>21</v>
      </c>
      <c r="M17" s="3" t="str">
        <f>IF(H17 = "","",MONTH(H17))</f>
        <v/>
      </c>
      <c r="N17" s="3" t="str">
        <f>IF(H17 = "","",YEAR(H17))</f>
        <v/>
      </c>
      <c r="O17" s="6" t="str">
        <f t="shared" si="0"/>
        <v>-</v>
      </c>
      <c r="P17" s="6" t="str">
        <f t="shared" si="1"/>
        <v>-</v>
      </c>
      <c r="Q17" s="6" t="str">
        <f t="shared" si="2"/>
        <v>-</v>
      </c>
      <c r="R17" s="6" t="str">
        <f t="shared" si="3"/>
        <v>-</v>
      </c>
      <c r="S17" s="6" t="str">
        <f t="shared" si="4"/>
        <v>-</v>
      </c>
    </row>
    <row r="18" spans="1:19" ht="14.1" customHeight="1" thickBot="1" x14ac:dyDescent="0.25">
      <c r="A18" s="4" t="str">
        <f>"15102"</f>
        <v>15102</v>
      </c>
      <c r="B18" s="5">
        <v>42119</v>
      </c>
      <c r="C18" s="4"/>
      <c r="D18" s="4" t="str">
        <f>"15011"</f>
        <v>15011</v>
      </c>
      <c r="E18" s="5">
        <v>42121</v>
      </c>
      <c r="F18" s="5">
        <v>42121</v>
      </c>
      <c r="G18" s="4"/>
      <c r="H18" s="4"/>
      <c r="I18" s="4" t="s">
        <v>59</v>
      </c>
      <c r="J18" s="4" t="s">
        <v>60</v>
      </c>
      <c r="K18" s="4" t="s">
        <v>39</v>
      </c>
      <c r="L18" s="4" t="s">
        <v>21</v>
      </c>
      <c r="M18" s="3" t="str">
        <f>IF(H18 = "","",MONTH(H18))</f>
        <v/>
      </c>
      <c r="N18" s="3" t="str">
        <f>IF(H18 = "","",YEAR(H18))</f>
        <v/>
      </c>
      <c r="O18" s="6">
        <f t="shared" si="0"/>
        <v>2</v>
      </c>
      <c r="P18" s="6" t="str">
        <f t="shared" si="1"/>
        <v>-</v>
      </c>
      <c r="Q18" s="6">
        <f t="shared" si="2"/>
        <v>0</v>
      </c>
      <c r="R18" s="6" t="str">
        <f t="shared" si="3"/>
        <v>-</v>
      </c>
      <c r="S18" s="6" t="str">
        <f t="shared" si="4"/>
        <v>-</v>
      </c>
    </row>
    <row r="19" spans="1:19" ht="14.1" customHeight="1" thickBot="1" x14ac:dyDescent="0.25">
      <c r="A19" s="4" t="str">
        <f>"15103"</f>
        <v>15103</v>
      </c>
      <c r="B19" s="5">
        <v>42119</v>
      </c>
      <c r="C19" s="4"/>
      <c r="D19" s="4" t="str">
        <f>"15010"</f>
        <v>15010</v>
      </c>
      <c r="E19" s="5">
        <v>42121</v>
      </c>
      <c r="F19" s="5">
        <v>42121</v>
      </c>
      <c r="G19" s="4"/>
      <c r="H19" s="4"/>
      <c r="I19" s="4" t="s">
        <v>61</v>
      </c>
      <c r="J19" s="4" t="s">
        <v>60</v>
      </c>
      <c r="K19" s="4" t="s">
        <v>39</v>
      </c>
      <c r="L19" s="4" t="s">
        <v>21</v>
      </c>
      <c r="M19" s="3" t="str">
        <f>IF(H19 = "","",MONTH(H19))</f>
        <v/>
      </c>
      <c r="N19" s="3" t="str">
        <f>IF(H19 = "","",YEAR(H19))</f>
        <v/>
      </c>
      <c r="O19" s="6">
        <f t="shared" si="0"/>
        <v>2</v>
      </c>
      <c r="P19" s="6" t="str">
        <f t="shared" si="1"/>
        <v>-</v>
      </c>
      <c r="Q19" s="6">
        <f t="shared" si="2"/>
        <v>0</v>
      </c>
      <c r="R19" s="6" t="str">
        <f t="shared" si="3"/>
        <v>-</v>
      </c>
      <c r="S19" s="6" t="str">
        <f t="shared" si="4"/>
        <v>-</v>
      </c>
    </row>
    <row r="20" spans="1:19" ht="14.1" customHeight="1" thickBot="1" x14ac:dyDescent="0.25">
      <c r="A20" s="4" t="str">
        <f>"15106"</f>
        <v>15106</v>
      </c>
      <c r="B20" s="5">
        <v>42116</v>
      </c>
      <c r="C20" s="4"/>
      <c r="D20" s="4" t="str">
        <f>"15013"</f>
        <v>15013</v>
      </c>
      <c r="E20" s="4"/>
      <c r="F20" s="4"/>
      <c r="G20" s="4"/>
      <c r="H20" s="4"/>
      <c r="I20" s="4" t="s">
        <v>62</v>
      </c>
      <c r="J20" s="4" t="s">
        <v>38</v>
      </c>
      <c r="K20" s="4" t="s">
        <v>39</v>
      </c>
      <c r="L20" s="4" t="s">
        <v>21</v>
      </c>
      <c r="M20" s="3" t="str">
        <f>IF(H20 = "","",MONTH(H20))</f>
        <v/>
      </c>
      <c r="N20" s="3" t="str">
        <f>IF(H20 = "","",YEAR(H20))</f>
        <v/>
      </c>
      <c r="O20" s="6" t="str">
        <f t="shared" si="0"/>
        <v>-</v>
      </c>
      <c r="P20" s="6" t="str">
        <f t="shared" si="1"/>
        <v>-</v>
      </c>
      <c r="Q20" s="6" t="str">
        <f t="shared" si="2"/>
        <v>-</v>
      </c>
      <c r="R20" s="6" t="str">
        <f t="shared" si="3"/>
        <v>-</v>
      </c>
      <c r="S20" s="6" t="str">
        <f t="shared" si="4"/>
        <v>-</v>
      </c>
    </row>
    <row r="21" spans="1:19" ht="14.1" customHeight="1" thickBot="1" x14ac:dyDescent="0.25">
      <c r="A21" s="4" t="str">
        <f>"1597"</f>
        <v>1597</v>
      </c>
      <c r="B21" s="5">
        <v>42114</v>
      </c>
      <c r="C21" s="4"/>
      <c r="D21" s="4" t="str">
        <f>"15014"</f>
        <v>15014</v>
      </c>
      <c r="E21" s="4"/>
      <c r="F21" s="4"/>
      <c r="G21" s="4"/>
      <c r="H21" s="4"/>
      <c r="I21" s="4" t="s">
        <v>63</v>
      </c>
      <c r="J21" s="4" t="s">
        <v>64</v>
      </c>
      <c r="K21" s="4" t="s">
        <v>39</v>
      </c>
      <c r="L21" s="4" t="s">
        <v>21</v>
      </c>
      <c r="M21" s="3" t="str">
        <f>IF(H21 = "","",MONTH(H21))</f>
        <v/>
      </c>
      <c r="N21" s="3" t="str">
        <f>IF(H21 = "","",YEAR(H21))</f>
        <v/>
      </c>
      <c r="O21" s="6" t="str">
        <f t="shared" si="0"/>
        <v>-</v>
      </c>
      <c r="P21" s="6" t="str">
        <f t="shared" si="1"/>
        <v>-</v>
      </c>
      <c r="Q21" s="6" t="str">
        <f t="shared" si="2"/>
        <v>-</v>
      </c>
      <c r="R21" s="6" t="str">
        <f t="shared" si="3"/>
        <v>-</v>
      </c>
      <c r="S21" s="6" t="str">
        <f t="shared" si="4"/>
        <v>-</v>
      </c>
    </row>
    <row r="22" spans="1:19" ht="14.1" customHeight="1" thickBot="1" x14ac:dyDescent="0.25">
      <c r="A22" s="4" t="str">
        <f>"1594"</f>
        <v>1594</v>
      </c>
      <c r="B22" s="5">
        <v>42104</v>
      </c>
      <c r="C22" s="4"/>
      <c r="D22" s="4" t="str">
        <f>"15007"</f>
        <v>15007</v>
      </c>
      <c r="E22" s="5">
        <v>42104</v>
      </c>
      <c r="F22" s="5">
        <v>42114</v>
      </c>
      <c r="G22" s="4"/>
      <c r="H22" s="4"/>
      <c r="I22" s="4" t="s">
        <v>65</v>
      </c>
      <c r="J22" s="4" t="s">
        <v>66</v>
      </c>
      <c r="K22" s="4" t="s">
        <v>67</v>
      </c>
      <c r="L22" s="4" t="s">
        <v>21</v>
      </c>
      <c r="M22" s="3" t="str">
        <f>IF(H22 = "","",MONTH(H22))</f>
        <v/>
      </c>
      <c r="N22" s="3" t="str">
        <f>IF(H22 = "","",YEAR(H22))</f>
        <v/>
      </c>
      <c r="O22" s="6">
        <f t="shared" si="0"/>
        <v>0</v>
      </c>
      <c r="P22" s="6" t="str">
        <f t="shared" si="1"/>
        <v>-</v>
      </c>
      <c r="Q22" s="6">
        <f t="shared" si="2"/>
        <v>10</v>
      </c>
      <c r="R22" s="6" t="str">
        <f t="shared" si="3"/>
        <v>-</v>
      </c>
      <c r="S22" s="6" t="str">
        <f t="shared" si="4"/>
        <v>-</v>
      </c>
    </row>
    <row r="23" spans="1:19" ht="14.1" customHeight="1" thickBot="1" x14ac:dyDescent="0.25">
      <c r="A23" s="4" t="str">
        <f>"1589"</f>
        <v>1589</v>
      </c>
      <c r="B23" s="5">
        <v>42103</v>
      </c>
      <c r="C23" s="5">
        <v>42103</v>
      </c>
      <c r="D23" s="4" t="str">
        <f>"15008"</f>
        <v>15008</v>
      </c>
      <c r="E23" s="5">
        <v>42110</v>
      </c>
      <c r="F23" s="4"/>
      <c r="G23" s="4"/>
      <c r="H23" s="4"/>
      <c r="I23" s="4" t="s">
        <v>68</v>
      </c>
      <c r="J23" s="4" t="s">
        <v>38</v>
      </c>
      <c r="K23" s="4" t="s">
        <v>39</v>
      </c>
      <c r="L23" s="4" t="s">
        <v>21</v>
      </c>
      <c r="M23" s="3" t="str">
        <f>IF(H23 = "","",MONTH(H23))</f>
        <v/>
      </c>
      <c r="N23" s="3" t="str">
        <f>IF(H23 = "","",YEAR(H23))</f>
        <v/>
      </c>
      <c r="O23" s="6">
        <f t="shared" si="0"/>
        <v>7</v>
      </c>
      <c r="P23" s="6">
        <f t="shared" si="1"/>
        <v>7</v>
      </c>
      <c r="Q23" s="6" t="str">
        <f t="shared" si="2"/>
        <v>-</v>
      </c>
      <c r="R23" s="6" t="str">
        <f t="shared" si="3"/>
        <v>-</v>
      </c>
      <c r="S23" s="6" t="str">
        <f t="shared" si="4"/>
        <v>-</v>
      </c>
    </row>
    <row r="24" spans="1:19" ht="14.1" customHeight="1" thickBot="1" x14ac:dyDescent="0.25">
      <c r="A24" s="4" t="str">
        <f>"1587"</f>
        <v>1587</v>
      </c>
      <c r="B24" s="5">
        <v>42101</v>
      </c>
      <c r="C24" s="4"/>
      <c r="D24" s="4" t="str">
        <f>"15015"</f>
        <v>15015</v>
      </c>
      <c r="E24" s="4"/>
      <c r="F24" s="4"/>
      <c r="G24" s="4"/>
      <c r="H24" s="4"/>
      <c r="I24" s="4" t="s">
        <v>69</v>
      </c>
      <c r="J24" s="4" t="s">
        <v>38</v>
      </c>
      <c r="K24" s="4" t="s">
        <v>39</v>
      </c>
      <c r="L24" s="4" t="s">
        <v>21</v>
      </c>
      <c r="M24" s="3" t="str">
        <f>IF(H24 = "","",MONTH(H24))</f>
        <v/>
      </c>
      <c r="N24" s="3" t="str">
        <f>IF(H24 = "","",YEAR(H24))</f>
        <v/>
      </c>
      <c r="O24" s="6" t="str">
        <f t="shared" si="0"/>
        <v>-</v>
      </c>
      <c r="P24" s="6" t="str">
        <f t="shared" si="1"/>
        <v>-</v>
      </c>
      <c r="Q24" s="6" t="str">
        <f t="shared" si="2"/>
        <v>-</v>
      </c>
      <c r="R24" s="6" t="str">
        <f t="shared" si="3"/>
        <v>-</v>
      </c>
      <c r="S24" s="6" t="str">
        <f t="shared" si="4"/>
        <v>-</v>
      </c>
    </row>
    <row r="25" spans="1:19" ht="14.1" customHeight="1" thickBot="1" x14ac:dyDescent="0.25">
      <c r="A25" s="4" t="str">
        <f>"1578"</f>
        <v>1578</v>
      </c>
      <c r="B25" s="5">
        <v>42090</v>
      </c>
      <c r="C25" s="4"/>
      <c r="D25" s="4" t="str">
        <f>"15031"</f>
        <v>15031</v>
      </c>
      <c r="E25" s="5">
        <v>42265</v>
      </c>
      <c r="F25" s="5">
        <v>42307</v>
      </c>
      <c r="G25" s="4"/>
      <c r="H25" s="4"/>
      <c r="I25" s="4" t="s">
        <v>70</v>
      </c>
      <c r="J25" s="4" t="s">
        <v>71</v>
      </c>
      <c r="K25" s="4" t="s">
        <v>20</v>
      </c>
      <c r="L25" s="4" t="s">
        <v>43</v>
      </c>
      <c r="M25" s="3" t="str">
        <f>IF(H25 = "","",MONTH(H25))</f>
        <v/>
      </c>
      <c r="N25" s="3" t="str">
        <f>IF(H25 = "","",YEAR(H25))</f>
        <v/>
      </c>
      <c r="O25" s="6">
        <f t="shared" si="0"/>
        <v>171</v>
      </c>
      <c r="P25" s="6" t="str">
        <f t="shared" si="1"/>
        <v>-</v>
      </c>
      <c r="Q25" s="6">
        <f t="shared" si="2"/>
        <v>42</v>
      </c>
      <c r="R25" s="6" t="str">
        <f t="shared" si="3"/>
        <v>-</v>
      </c>
      <c r="S25" s="6" t="str">
        <f t="shared" si="4"/>
        <v>-</v>
      </c>
    </row>
    <row r="26" spans="1:19" ht="14.1" customHeight="1" thickBot="1" x14ac:dyDescent="0.25">
      <c r="A26" s="4" t="str">
        <f>"1576"</f>
        <v>1576</v>
      </c>
      <c r="B26" s="5">
        <v>42088</v>
      </c>
      <c r="C26" s="4"/>
      <c r="D26" s="4" t="str">
        <f>"15012"</f>
        <v>15012</v>
      </c>
      <c r="E26" s="5">
        <v>42109</v>
      </c>
      <c r="F26" s="5">
        <v>42122</v>
      </c>
      <c r="G26" s="4"/>
      <c r="H26" s="4"/>
      <c r="I26" s="4" t="s">
        <v>72</v>
      </c>
      <c r="J26" s="4" t="s">
        <v>60</v>
      </c>
      <c r="K26" s="4" t="s">
        <v>73</v>
      </c>
      <c r="L26" s="4" t="s">
        <v>21</v>
      </c>
      <c r="M26" s="3" t="str">
        <f>IF(H26 = "","",MONTH(H26))</f>
        <v/>
      </c>
      <c r="N26" s="3" t="str">
        <f>IF(H26 = "","",YEAR(H26))</f>
        <v/>
      </c>
      <c r="O26" s="6">
        <f t="shared" si="0"/>
        <v>20</v>
      </c>
      <c r="P26" s="6" t="str">
        <f t="shared" si="1"/>
        <v>-</v>
      </c>
      <c r="Q26" s="6">
        <f t="shared" si="2"/>
        <v>13</v>
      </c>
      <c r="R26" s="6" t="str">
        <f t="shared" si="3"/>
        <v>-</v>
      </c>
      <c r="S26" s="6" t="str">
        <f t="shared" si="4"/>
        <v>-</v>
      </c>
    </row>
    <row r="27" spans="1:19" ht="14.1" customHeight="1" thickBot="1" x14ac:dyDescent="0.25">
      <c r="A27" s="4" t="str">
        <f>"1538"</f>
        <v>1538</v>
      </c>
      <c r="B27" s="5">
        <v>42052</v>
      </c>
      <c r="C27" s="5">
        <v>42058</v>
      </c>
      <c r="D27" s="4" t="str">
        <f>"15027"</f>
        <v>15027</v>
      </c>
      <c r="E27" s="5">
        <v>42236</v>
      </c>
      <c r="F27" s="5">
        <v>42269</v>
      </c>
      <c r="G27" s="4"/>
      <c r="H27" s="4"/>
      <c r="I27" s="4" t="s">
        <v>74</v>
      </c>
      <c r="J27" s="4" t="s">
        <v>42</v>
      </c>
      <c r="K27" s="4" t="s">
        <v>25</v>
      </c>
      <c r="L27" s="4" t="s">
        <v>75</v>
      </c>
      <c r="M27" s="3" t="str">
        <f>IF(H27 = "","",MONTH(H27))</f>
        <v/>
      </c>
      <c r="N27" s="3" t="str">
        <f>IF(H27 = "","",YEAR(H27))</f>
        <v/>
      </c>
      <c r="O27" s="6">
        <f t="shared" si="0"/>
        <v>183</v>
      </c>
      <c r="P27" s="6">
        <f t="shared" si="1"/>
        <v>177</v>
      </c>
      <c r="Q27" s="6">
        <f t="shared" si="2"/>
        <v>32</v>
      </c>
      <c r="R27" s="6" t="str">
        <f t="shared" si="3"/>
        <v>-</v>
      </c>
      <c r="S27" s="6" t="str">
        <f t="shared" si="4"/>
        <v>-</v>
      </c>
    </row>
    <row r="28" spans="1:19" ht="14.1" customHeight="1" thickBot="1" x14ac:dyDescent="0.25">
      <c r="A28" s="4" t="str">
        <f>"1537"</f>
        <v>1537</v>
      </c>
      <c r="B28" s="5">
        <v>42052</v>
      </c>
      <c r="C28" s="5">
        <v>42069</v>
      </c>
      <c r="D28" s="4" t="str">
        <f>"15009"</f>
        <v>15009</v>
      </c>
      <c r="E28" s="5">
        <v>42116</v>
      </c>
      <c r="F28" s="5">
        <v>42180</v>
      </c>
      <c r="G28" s="5">
        <v>42184</v>
      </c>
      <c r="H28" s="5">
        <v>42276</v>
      </c>
      <c r="I28" s="4" t="s">
        <v>76</v>
      </c>
      <c r="J28" s="4" t="s">
        <v>42</v>
      </c>
      <c r="K28" s="4" t="s">
        <v>39</v>
      </c>
      <c r="L28" s="4" t="s">
        <v>21</v>
      </c>
      <c r="M28" s="3">
        <f>IF(H28 = "","",MONTH(H28))</f>
        <v>9</v>
      </c>
      <c r="N28" s="3">
        <f>IF(H28 = "","",YEAR(H28))</f>
        <v>2015</v>
      </c>
      <c r="O28" s="6">
        <f t="shared" si="0"/>
        <v>65</v>
      </c>
      <c r="P28" s="6">
        <f t="shared" si="1"/>
        <v>46</v>
      </c>
      <c r="Q28" s="6">
        <f t="shared" si="2"/>
        <v>63</v>
      </c>
      <c r="R28" s="6">
        <f t="shared" si="3"/>
        <v>67</v>
      </c>
      <c r="S28" s="6">
        <f t="shared" si="4"/>
        <v>157</v>
      </c>
    </row>
    <row r="29" spans="1:19" ht="14.1" customHeight="1" thickBot="1" x14ac:dyDescent="0.25">
      <c r="A29" s="4" t="str">
        <f>"1522"</f>
        <v>1522</v>
      </c>
      <c r="B29" s="5">
        <v>42031</v>
      </c>
      <c r="C29" s="4"/>
      <c r="D29" s="4" t="str">
        <f>"15040"</f>
        <v>15040</v>
      </c>
      <c r="E29" s="5">
        <v>42320</v>
      </c>
      <c r="F29" s="4"/>
      <c r="G29" s="4"/>
      <c r="H29" s="4"/>
      <c r="I29" s="4" t="s">
        <v>77</v>
      </c>
      <c r="J29" s="4" t="s">
        <v>78</v>
      </c>
      <c r="K29" s="4" t="s">
        <v>79</v>
      </c>
      <c r="L29" s="4" t="s">
        <v>80</v>
      </c>
      <c r="M29" s="3" t="str">
        <f>IF(H29 = "","",MONTH(H29))</f>
        <v/>
      </c>
      <c r="N29" s="3" t="str">
        <f>IF(H29 = "","",YEAR(H29))</f>
        <v/>
      </c>
      <c r="O29" s="6">
        <f t="shared" si="0"/>
        <v>285</v>
      </c>
      <c r="P29" s="6" t="str">
        <f t="shared" si="1"/>
        <v>-</v>
      </c>
      <c r="Q29" s="6" t="str">
        <f t="shared" si="2"/>
        <v>-</v>
      </c>
      <c r="R29" s="6" t="str">
        <f t="shared" si="3"/>
        <v>-</v>
      </c>
      <c r="S29" s="6" t="str">
        <f t="shared" si="4"/>
        <v>-</v>
      </c>
    </row>
    <row r="30" spans="1:19" ht="14.1" customHeight="1" thickBot="1" x14ac:dyDescent="0.25">
      <c r="A30" s="4" t="str">
        <f>"1517"</f>
        <v>1517</v>
      </c>
      <c r="B30" s="5">
        <v>42025</v>
      </c>
      <c r="C30" s="4"/>
      <c r="D30" s="4" t="str">
        <f>"15004"</f>
        <v>15004</v>
      </c>
      <c r="E30" s="4"/>
      <c r="F30" s="4"/>
      <c r="G30" s="4"/>
      <c r="H30" s="4"/>
      <c r="I30" s="4" t="s">
        <v>81</v>
      </c>
      <c r="J30" s="4" t="s">
        <v>82</v>
      </c>
      <c r="K30" s="4" t="s">
        <v>39</v>
      </c>
      <c r="L30" s="4" t="s">
        <v>50</v>
      </c>
      <c r="M30" s="3" t="str">
        <f>IF(H30 = "","",MONTH(H30))</f>
        <v/>
      </c>
      <c r="N30" s="3" t="str">
        <f>IF(H30 = "","",YEAR(H30))</f>
        <v/>
      </c>
      <c r="O30" s="6" t="str">
        <f t="shared" si="0"/>
        <v>-</v>
      </c>
      <c r="P30" s="6" t="str">
        <f t="shared" si="1"/>
        <v>-</v>
      </c>
      <c r="Q30" s="6" t="str">
        <f t="shared" si="2"/>
        <v>-</v>
      </c>
      <c r="R30" s="6" t="str">
        <f t="shared" si="3"/>
        <v>-</v>
      </c>
      <c r="S30" s="6" t="str">
        <f t="shared" si="4"/>
        <v>-</v>
      </c>
    </row>
    <row r="31" spans="1:19" ht="14.1" customHeight="1" thickBot="1" x14ac:dyDescent="0.25">
      <c r="A31" s="4" t="str">
        <f>"1515"</f>
        <v>1515</v>
      </c>
      <c r="B31" s="5">
        <v>42024</v>
      </c>
      <c r="C31" s="5">
        <v>42045</v>
      </c>
      <c r="D31" s="4" t="str">
        <f>"15005"</f>
        <v>15005</v>
      </c>
      <c r="E31" s="5">
        <v>42033</v>
      </c>
      <c r="F31" s="5">
        <v>42102</v>
      </c>
      <c r="G31" s="5">
        <v>42108</v>
      </c>
      <c r="H31" s="4"/>
      <c r="I31" s="4" t="s">
        <v>83</v>
      </c>
      <c r="J31" s="4" t="s">
        <v>84</v>
      </c>
      <c r="K31" s="4" t="s">
        <v>39</v>
      </c>
      <c r="L31" s="4" t="s">
        <v>21</v>
      </c>
      <c r="M31" s="3" t="str">
        <f>IF(H31 = "","",MONTH(H31))</f>
        <v/>
      </c>
      <c r="N31" s="3" t="str">
        <f>IF(H31 = "","",YEAR(H31))</f>
        <v/>
      </c>
      <c r="O31" s="6">
        <f t="shared" si="0"/>
        <v>9</v>
      </c>
      <c r="P31" s="6">
        <f t="shared" si="1"/>
        <v>-11</v>
      </c>
      <c r="Q31" s="6">
        <f t="shared" si="2"/>
        <v>69</v>
      </c>
      <c r="R31" s="6">
        <f t="shared" si="3"/>
        <v>75</v>
      </c>
      <c r="S31" s="6" t="str">
        <f t="shared" si="4"/>
        <v>-</v>
      </c>
    </row>
    <row r="32" spans="1:19" ht="14.1" customHeight="1" thickBot="1" x14ac:dyDescent="0.25">
      <c r="A32" s="4" t="str">
        <f>"1510"</f>
        <v>1510</v>
      </c>
      <c r="B32" s="5">
        <v>42017</v>
      </c>
      <c r="C32" s="5">
        <v>42032</v>
      </c>
      <c r="D32" s="4" t="str">
        <f>"15006"</f>
        <v>15006</v>
      </c>
      <c r="E32" s="5">
        <v>42108</v>
      </c>
      <c r="F32" s="5">
        <v>42158</v>
      </c>
      <c r="G32" s="5">
        <v>42163</v>
      </c>
      <c r="H32" s="4"/>
      <c r="I32" s="4" t="s">
        <v>85</v>
      </c>
      <c r="J32" s="4" t="s">
        <v>84</v>
      </c>
      <c r="K32" s="4" t="s">
        <v>39</v>
      </c>
      <c r="L32" s="4" t="s">
        <v>86</v>
      </c>
      <c r="M32" s="3" t="str">
        <f>IF(H32 = "","",MONTH(H32))</f>
        <v/>
      </c>
      <c r="N32" s="3" t="str">
        <f>IF(H32 = "","",YEAR(H32))</f>
        <v/>
      </c>
      <c r="O32" s="6">
        <f t="shared" si="0"/>
        <v>91</v>
      </c>
      <c r="P32" s="6">
        <f t="shared" si="1"/>
        <v>76</v>
      </c>
      <c r="Q32" s="6">
        <f t="shared" si="2"/>
        <v>49</v>
      </c>
      <c r="R32" s="6">
        <f t="shared" si="3"/>
        <v>54</v>
      </c>
      <c r="S32" s="6" t="str">
        <f t="shared" si="4"/>
        <v>-</v>
      </c>
    </row>
    <row r="33" spans="1:19" ht="14.1" customHeight="1" thickBot="1" x14ac:dyDescent="0.25">
      <c r="A33" s="4" t="str">
        <f>"1503"</f>
        <v>1503</v>
      </c>
      <c r="B33" s="5">
        <v>42012</v>
      </c>
      <c r="C33" s="4"/>
      <c r="D33" s="4" t="str">
        <f>"15037"</f>
        <v>15037</v>
      </c>
      <c r="E33" s="5">
        <v>42300</v>
      </c>
      <c r="F33" s="5">
        <v>42314</v>
      </c>
      <c r="G33" s="5">
        <v>42317</v>
      </c>
      <c r="H33" s="4"/>
      <c r="I33" s="4" t="s">
        <v>87</v>
      </c>
      <c r="J33" s="4" t="s">
        <v>24</v>
      </c>
      <c r="K33" s="4" t="s">
        <v>25</v>
      </c>
      <c r="L33" s="4" t="s">
        <v>50</v>
      </c>
      <c r="M33" s="3" t="str">
        <f>IF(H33 = "","",MONTH(H33))</f>
        <v/>
      </c>
      <c r="N33" s="3" t="str">
        <f>IF(H33 = "","",YEAR(H33))</f>
        <v/>
      </c>
      <c r="O33" s="6">
        <f t="shared" si="0"/>
        <v>285</v>
      </c>
      <c r="P33" s="6" t="str">
        <f t="shared" si="1"/>
        <v>-</v>
      </c>
      <c r="Q33" s="6">
        <f t="shared" si="2"/>
        <v>13</v>
      </c>
      <c r="R33" s="6">
        <f t="shared" si="3"/>
        <v>16</v>
      </c>
      <c r="S33" s="6" t="str">
        <f t="shared" si="4"/>
        <v>-</v>
      </c>
    </row>
    <row r="34" spans="1:19" ht="14.1" customHeight="1" thickBot="1" x14ac:dyDescent="0.25">
      <c r="A34" s="4" t="str">
        <f>"1490"</f>
        <v>1490</v>
      </c>
      <c r="B34" s="5">
        <v>42003</v>
      </c>
      <c r="C34" s="5">
        <v>42009</v>
      </c>
      <c r="D34" s="4" t="str">
        <f>"15003"</f>
        <v>15003</v>
      </c>
      <c r="E34" s="5">
        <v>42012</v>
      </c>
      <c r="F34" s="5">
        <v>42020</v>
      </c>
      <c r="G34" s="4"/>
      <c r="H34" s="4"/>
      <c r="I34" s="4" t="s">
        <v>88</v>
      </c>
      <c r="J34" s="4" t="s">
        <v>89</v>
      </c>
      <c r="K34" s="4" t="s">
        <v>90</v>
      </c>
      <c r="L34" s="4" t="s">
        <v>75</v>
      </c>
      <c r="M34" s="3" t="str">
        <f>IF(H34 = "","",MONTH(H34))</f>
        <v/>
      </c>
      <c r="N34" s="3" t="str">
        <f>IF(H34 = "","",YEAR(H34))</f>
        <v/>
      </c>
      <c r="O34" s="6">
        <f t="shared" si="0"/>
        <v>8</v>
      </c>
      <c r="P34" s="6">
        <f t="shared" si="1"/>
        <v>3</v>
      </c>
      <c r="Q34" s="6">
        <f t="shared" si="2"/>
        <v>8</v>
      </c>
      <c r="R34" s="6" t="str">
        <f t="shared" si="3"/>
        <v>-</v>
      </c>
      <c r="S34" s="6" t="str">
        <f t="shared" si="4"/>
        <v>-</v>
      </c>
    </row>
    <row r="35" spans="1:19" ht="14.1" customHeight="1" thickBot="1" x14ac:dyDescent="0.25">
      <c r="A35" s="4" t="str">
        <f>"1489"</f>
        <v>1489</v>
      </c>
      <c r="B35" s="5">
        <v>42003</v>
      </c>
      <c r="C35" s="5">
        <v>42011</v>
      </c>
      <c r="D35" s="4" t="str">
        <f>"15026"</f>
        <v>15026</v>
      </c>
      <c r="E35" s="5">
        <v>42207</v>
      </c>
      <c r="F35" s="4"/>
      <c r="G35" s="5">
        <v>42248</v>
      </c>
      <c r="H35" s="4"/>
      <c r="I35" s="4" t="s">
        <v>91</v>
      </c>
      <c r="J35" s="4" t="s">
        <v>42</v>
      </c>
      <c r="K35" s="4" t="s">
        <v>39</v>
      </c>
      <c r="L35" s="4" t="s">
        <v>50</v>
      </c>
      <c r="M35" s="3" t="str">
        <f>IF(H35 = "","",MONTH(H35))</f>
        <v/>
      </c>
      <c r="N35" s="3" t="str">
        <f>IF(H35 = "","",YEAR(H35))</f>
        <v/>
      </c>
      <c r="O35" s="6">
        <f t="shared" si="0"/>
        <v>202</v>
      </c>
      <c r="P35" s="6">
        <f t="shared" si="1"/>
        <v>195</v>
      </c>
      <c r="Q35" s="6" t="str">
        <f t="shared" si="2"/>
        <v>-</v>
      </c>
      <c r="R35" s="6">
        <f t="shared" si="3"/>
        <v>39</v>
      </c>
      <c r="S35" s="6" t="str">
        <f t="shared" si="4"/>
        <v>-</v>
      </c>
    </row>
    <row r="36" spans="1:19" ht="14.1" customHeight="1" thickBot="1" x14ac:dyDescent="0.25">
      <c r="A36" s="4" t="str">
        <f>"1488"</f>
        <v>1488</v>
      </c>
      <c r="B36" s="5">
        <v>41991</v>
      </c>
      <c r="C36" s="5">
        <v>41992</v>
      </c>
      <c r="D36" s="4" t="str">
        <f>"15001"</f>
        <v>15001</v>
      </c>
      <c r="E36" s="5">
        <v>42011</v>
      </c>
      <c r="F36" s="5">
        <v>42018</v>
      </c>
      <c r="G36" s="4"/>
      <c r="H36" s="5">
        <v>42018</v>
      </c>
      <c r="I36" s="4" t="s">
        <v>92</v>
      </c>
      <c r="J36" s="4" t="s">
        <v>93</v>
      </c>
      <c r="K36" s="4" t="s">
        <v>94</v>
      </c>
      <c r="L36" s="4" t="s">
        <v>21</v>
      </c>
      <c r="M36" s="3">
        <f>IF(H36 = "","",MONTH(H36))</f>
        <v>1</v>
      </c>
      <c r="N36" s="3">
        <f>IF(H36 = "","",YEAR(H36))</f>
        <v>2015</v>
      </c>
      <c r="O36" s="6">
        <f t="shared" si="0"/>
        <v>19</v>
      </c>
      <c r="P36" s="6">
        <f t="shared" si="1"/>
        <v>18</v>
      </c>
      <c r="Q36" s="6">
        <f t="shared" si="2"/>
        <v>7</v>
      </c>
      <c r="R36" s="6" t="str">
        <f t="shared" si="3"/>
        <v>-</v>
      </c>
      <c r="S36" s="6">
        <f t="shared" si="4"/>
        <v>7</v>
      </c>
    </row>
    <row r="37" spans="1:19" ht="14.1" customHeight="1" thickBot="1" x14ac:dyDescent="0.25">
      <c r="A37" s="4" t="str">
        <f>"1487"</f>
        <v>1487</v>
      </c>
      <c r="B37" s="5">
        <v>41990</v>
      </c>
      <c r="C37" s="5">
        <v>42009</v>
      </c>
      <c r="D37" s="4" t="str">
        <f>"15002"</f>
        <v>15002</v>
      </c>
      <c r="E37" s="5">
        <v>42011</v>
      </c>
      <c r="F37" s="5">
        <v>42031</v>
      </c>
      <c r="G37" s="4"/>
      <c r="H37" s="4"/>
      <c r="I37" s="4" t="s">
        <v>95</v>
      </c>
      <c r="J37" s="4" t="s">
        <v>89</v>
      </c>
      <c r="K37" s="4" t="s">
        <v>90</v>
      </c>
      <c r="L37" s="4" t="s">
        <v>75</v>
      </c>
      <c r="M37" s="3" t="str">
        <f>IF(H37 = "","",MONTH(H37))</f>
        <v/>
      </c>
      <c r="N37" s="3" t="str">
        <f>IF(H37 = "","",YEAR(H37))</f>
        <v/>
      </c>
      <c r="O37" s="6">
        <f t="shared" si="0"/>
        <v>20</v>
      </c>
      <c r="P37" s="6">
        <f t="shared" si="1"/>
        <v>2</v>
      </c>
      <c r="Q37" s="6">
        <f t="shared" si="2"/>
        <v>20</v>
      </c>
      <c r="R37" s="6" t="str">
        <f t="shared" si="3"/>
        <v>-</v>
      </c>
      <c r="S37" s="6" t="str">
        <f t="shared" si="4"/>
        <v>-</v>
      </c>
    </row>
    <row r="38" spans="1:19" ht="14.1" customHeight="1" thickBot="1" x14ac:dyDescent="0.25">
      <c r="A38" s="4" t="str">
        <f>"1469"</f>
        <v>1469</v>
      </c>
      <c r="B38" s="5">
        <v>41954</v>
      </c>
      <c r="C38" s="5">
        <v>41960</v>
      </c>
      <c r="D38" s="4" t="str">
        <f>"15033"</f>
        <v>15033</v>
      </c>
      <c r="E38" s="5">
        <v>42275</v>
      </c>
      <c r="F38" s="5">
        <v>42306</v>
      </c>
      <c r="G38" s="4"/>
      <c r="H38" s="4"/>
      <c r="I38" s="4" t="s">
        <v>104</v>
      </c>
      <c r="J38" s="4" t="s">
        <v>24</v>
      </c>
      <c r="K38" s="4" t="s">
        <v>25</v>
      </c>
      <c r="L38" s="4" t="s">
        <v>43</v>
      </c>
      <c r="M38" s="3" t="str">
        <f>IF(H38 = "","",MONTH(H38))</f>
        <v/>
      </c>
      <c r="N38" s="3" t="str">
        <f>IF(H38 = "","",YEAR(H38))</f>
        <v/>
      </c>
      <c r="O38" s="6">
        <f>IF(B38="","-",IF(E38="","-",DAYS360(B38,E38)))</f>
        <v>317</v>
      </c>
      <c r="P38" s="6">
        <f>IF(C38="","-",IF(E38="","-",DAYS360(C38,E38)))</f>
        <v>311</v>
      </c>
      <c r="Q38" s="6">
        <f>IF(E38="","-",IF(F38="","-",DAYS360(E38,F38)))</f>
        <v>31</v>
      </c>
      <c r="R38" s="6" t="str">
        <f>IF(E38="","-",IF(G38="","-",DAYS360(E38,G38)))</f>
        <v>-</v>
      </c>
      <c r="S38" s="6" t="str">
        <f>IF(E38="","-",IF(H38="","-",DAYS360(E38,H38)))</f>
        <v>-</v>
      </c>
    </row>
    <row r="39" spans="1:19" ht="14.1" customHeight="1" thickBot="1" x14ac:dyDescent="0.25">
      <c r="A39" s="4" t="str">
        <f>"1423"</f>
        <v>1423</v>
      </c>
      <c r="B39" s="5">
        <v>41786</v>
      </c>
      <c r="C39" s="5">
        <v>41787</v>
      </c>
      <c r="D39" s="4" t="str">
        <f>"15025"</f>
        <v>15025</v>
      </c>
      <c r="E39" s="5">
        <v>42207</v>
      </c>
      <c r="F39" s="4"/>
      <c r="G39" s="4"/>
      <c r="H39" s="4"/>
      <c r="I39" s="4" t="s">
        <v>126</v>
      </c>
      <c r="J39" s="4" t="s">
        <v>42</v>
      </c>
      <c r="K39" s="4" t="s">
        <v>39</v>
      </c>
      <c r="L39" s="4" t="s">
        <v>127</v>
      </c>
      <c r="M39" s="3" t="str">
        <f>IF(H39 = "","",MONTH(H39))</f>
        <v/>
      </c>
      <c r="N39" s="3" t="str">
        <f>IF(H39 = "","",YEAR(H39))</f>
        <v/>
      </c>
      <c r="O39" s="6">
        <f>IF(B39="","-",IF(E39="","-",DAYS360(B39,E39)))</f>
        <v>415</v>
      </c>
      <c r="P39" s="6">
        <f>IF(C39="","-",IF(E39="","-",DAYS360(C39,E39)))</f>
        <v>414</v>
      </c>
      <c r="Q39" s="6" t="str">
        <f>IF(E39="","-",IF(F39="","-",DAYS360(E39,F39)))</f>
        <v>-</v>
      </c>
      <c r="R39" s="6" t="str">
        <f>IF(E39="","-",IF(G39="","-",DAYS360(E39,G39)))</f>
        <v>-</v>
      </c>
      <c r="S39" s="6" t="str">
        <f>IF(E39="","-",IF(H39="","-",DAYS360(E39,H39)))</f>
        <v>-</v>
      </c>
    </row>
    <row r="40" spans="1:19" ht="14.1" customHeight="1" thickBot="1" x14ac:dyDescent="0.25">
      <c r="A40" s="4" t="str">
        <f>"1404"</f>
        <v>1404</v>
      </c>
      <c r="B40" s="5">
        <v>41723</v>
      </c>
      <c r="C40" s="5">
        <v>42030</v>
      </c>
      <c r="D40" s="4" t="str">
        <f>"15035"</f>
        <v>15035</v>
      </c>
      <c r="E40" s="5">
        <v>42290</v>
      </c>
      <c r="F40" s="4"/>
      <c r="G40" s="4"/>
      <c r="H40" s="4"/>
      <c r="I40" s="4" t="s">
        <v>137</v>
      </c>
      <c r="J40" s="4" t="s">
        <v>138</v>
      </c>
      <c r="K40" s="4" t="s">
        <v>139</v>
      </c>
      <c r="L40" s="4" t="s">
        <v>26</v>
      </c>
      <c r="M40" s="3" t="str">
        <f>IF(H40 = "","",MONTH(H40))</f>
        <v/>
      </c>
      <c r="N40" s="3" t="str">
        <f>IF(H40 = "","",YEAR(H40))</f>
        <v/>
      </c>
      <c r="O40" s="6">
        <f>IF(B40="","-",IF(E40="","-",DAYS360(B40,E40)))</f>
        <v>558</v>
      </c>
      <c r="P40" s="6">
        <f>IF(C40="","-",IF(E40="","-",DAYS360(C40,E40)))</f>
        <v>257</v>
      </c>
      <c r="Q40" s="6" t="str">
        <f>IF(E40="","-",IF(F40="","-",DAYS360(E40,F40)))</f>
        <v>-</v>
      </c>
      <c r="R40" s="6" t="str">
        <f>IF(E40="","-",IF(G40="","-",DAYS360(E40,G40)))</f>
        <v>-</v>
      </c>
      <c r="S40" s="6" t="str">
        <f>IF(E40="","-",IF(H40="","-",DAYS360(E40,H40)))</f>
        <v>-</v>
      </c>
    </row>
    <row r="41" spans="1:19" ht="14.1" customHeight="1" thickBot="1" x14ac:dyDescent="0.25">
      <c r="A41" s="4" t="str">
        <f>"1349"</f>
        <v>1349</v>
      </c>
      <c r="B41" s="5">
        <v>41591</v>
      </c>
      <c r="C41" s="4"/>
      <c r="D41" s="4" t="str">
        <f>"15036"</f>
        <v>15036</v>
      </c>
      <c r="E41" s="5">
        <v>42286</v>
      </c>
      <c r="F41" s="5">
        <v>42304</v>
      </c>
      <c r="G41" s="4"/>
      <c r="H41" s="4"/>
      <c r="I41" s="4" t="s">
        <v>145</v>
      </c>
      <c r="J41" s="4" t="s">
        <v>146</v>
      </c>
      <c r="K41" s="4" t="s">
        <v>34</v>
      </c>
      <c r="L41" s="4" t="s">
        <v>75</v>
      </c>
      <c r="M41" s="3" t="str">
        <f>IF(H41 = "","",MONTH(H41))</f>
        <v/>
      </c>
      <c r="N41" s="3" t="str">
        <f>IF(H41 = "","",YEAR(H41))</f>
        <v/>
      </c>
      <c r="O41" s="6">
        <f>IF(B41="","-",IF(E41="","-",DAYS360(B41,E41)))</f>
        <v>686</v>
      </c>
      <c r="P41" s="6" t="str">
        <f>IF(C41="","-",IF(E41="","-",DAYS360(C41,E41)))</f>
        <v>-</v>
      </c>
      <c r="Q41" s="6">
        <f>IF(E41="","-",IF(F41="","-",DAYS360(E41,F41)))</f>
        <v>18</v>
      </c>
      <c r="R41" s="6" t="str">
        <f>IF(E41="","-",IF(G41="","-",DAYS360(E41,G41)))</f>
        <v>-</v>
      </c>
      <c r="S41" s="6" t="str">
        <f>IF(E41="","-",IF(H41="","-",DAYS360(E41,H41)))</f>
        <v>-</v>
      </c>
    </row>
    <row r="42" spans="1:19" ht="14.1" customHeight="1" thickBot="1" x14ac:dyDescent="0.25">
      <c r="A42" s="4"/>
      <c r="B42" s="5"/>
      <c r="C42" s="4"/>
      <c r="D42" s="4"/>
      <c r="E42" s="5"/>
      <c r="F42" s="5"/>
      <c r="G42" s="4"/>
      <c r="H42" s="4"/>
      <c r="I42" s="4"/>
      <c r="J42" s="4"/>
      <c r="K42" s="4"/>
      <c r="L42" s="4"/>
      <c r="O42" s="6"/>
      <c r="P42" s="6"/>
      <c r="S42" s="6"/>
    </row>
    <row r="43" spans="1:19" ht="14.1" customHeight="1" thickBot="1" x14ac:dyDescent="0.25">
      <c r="A43" s="4"/>
      <c r="B43" s="5"/>
      <c r="C43" s="4"/>
      <c r="D43" s="4">
        <f>COUNT(D2:D41)</f>
        <v>0</v>
      </c>
      <c r="E43" s="5"/>
      <c r="F43" s="5"/>
      <c r="G43" s="4"/>
      <c r="H43" s="4"/>
      <c r="I43" s="4"/>
      <c r="J43" s="4"/>
      <c r="K43" s="4"/>
      <c r="L43" s="4"/>
      <c r="O43" s="9">
        <f>AVERAGE(O2:O41)</f>
        <v>117.70967741935483</v>
      </c>
      <c r="P43" s="9">
        <f t="shared" ref="P43:S43" si="5">AVERAGE(P2:P41)</f>
        <v>96.1875</v>
      </c>
      <c r="Q43" s="9">
        <f t="shared" si="5"/>
        <v>23.142857142857142</v>
      </c>
      <c r="R43" s="9">
        <f t="shared" si="5"/>
        <v>53</v>
      </c>
      <c r="S43" s="9">
        <f t="shared" si="5"/>
        <v>82</v>
      </c>
    </row>
    <row r="44" spans="1:19" ht="14.1" customHeight="1" thickBot="1" x14ac:dyDescent="0.25">
      <c r="A44" s="4"/>
      <c r="B44" s="5"/>
      <c r="C44" s="4"/>
      <c r="D44" s="4"/>
      <c r="E44" s="5"/>
      <c r="F44" s="5"/>
      <c r="G44" s="4"/>
      <c r="H44" s="4"/>
      <c r="I44" s="4"/>
      <c r="J44" s="4"/>
      <c r="K44" s="4"/>
      <c r="L44" s="4"/>
      <c r="O44" s="6"/>
      <c r="P44" s="6"/>
      <c r="S44" s="6"/>
    </row>
    <row r="45" spans="1:19" ht="14.1" customHeight="1" thickBot="1" x14ac:dyDescent="0.25">
      <c r="A45" s="4"/>
      <c r="B45" s="5"/>
      <c r="C45" s="4"/>
      <c r="D45" s="4"/>
      <c r="E45" s="5"/>
      <c r="F45" s="5"/>
      <c r="G45" s="4"/>
      <c r="H45" s="4"/>
      <c r="I45" s="4"/>
      <c r="J45" s="4"/>
      <c r="K45" s="4"/>
      <c r="L45" s="4"/>
      <c r="O45" s="6"/>
      <c r="P45" s="6"/>
      <c r="S45" s="6"/>
    </row>
    <row r="46" spans="1:19" ht="14.1" customHeight="1" thickBot="1" x14ac:dyDescent="0.25">
      <c r="A46" s="4" t="str">
        <f>"1483"</f>
        <v>1483</v>
      </c>
      <c r="B46" s="5">
        <v>41976</v>
      </c>
      <c r="C46" s="5">
        <v>41984</v>
      </c>
      <c r="D46" s="4" t="str">
        <f>"14032"</f>
        <v>14032</v>
      </c>
      <c r="E46" s="5">
        <v>41983</v>
      </c>
      <c r="F46" s="5">
        <v>42011</v>
      </c>
      <c r="G46" s="5">
        <v>42016</v>
      </c>
      <c r="H46" s="4"/>
      <c r="I46" s="4" t="s">
        <v>96</v>
      </c>
      <c r="J46" s="4" t="s">
        <v>42</v>
      </c>
      <c r="K46" s="4" t="s">
        <v>97</v>
      </c>
      <c r="L46" s="4" t="s">
        <v>86</v>
      </c>
      <c r="M46" s="3" t="str">
        <f>IF(H46 = "","",MONTH(H46))</f>
        <v/>
      </c>
      <c r="N46" s="3" t="str">
        <f>IF(H46 = "","",YEAR(H46))</f>
        <v/>
      </c>
      <c r="O46" s="6">
        <f t="shared" si="0"/>
        <v>7</v>
      </c>
      <c r="P46" s="6">
        <f t="shared" si="1"/>
        <v>-1</v>
      </c>
      <c r="Q46" s="6">
        <f t="shared" si="2"/>
        <v>27</v>
      </c>
      <c r="R46" s="6">
        <f t="shared" si="3"/>
        <v>32</v>
      </c>
      <c r="S46" s="6" t="str">
        <f t="shared" si="4"/>
        <v>-</v>
      </c>
    </row>
    <row r="47" spans="1:19" ht="14.1" customHeight="1" thickBot="1" x14ac:dyDescent="0.25">
      <c r="A47" s="4" t="str">
        <f>"1476"</f>
        <v>1476</v>
      </c>
      <c r="B47" s="5">
        <v>41969</v>
      </c>
      <c r="C47" s="4"/>
      <c r="D47" s="4" t="str">
        <f>"14027"</f>
        <v>14027</v>
      </c>
      <c r="E47" s="5">
        <v>41969</v>
      </c>
      <c r="F47" s="5">
        <v>41970</v>
      </c>
      <c r="G47" s="4"/>
      <c r="H47" s="4"/>
      <c r="I47" s="4" t="s">
        <v>98</v>
      </c>
      <c r="J47" s="4" t="s">
        <v>99</v>
      </c>
      <c r="K47" s="4" t="s">
        <v>39</v>
      </c>
      <c r="L47" s="4" t="s">
        <v>21</v>
      </c>
      <c r="M47" s="3" t="str">
        <f>IF(H47 = "","",MONTH(H47))</f>
        <v/>
      </c>
      <c r="N47" s="3" t="str">
        <f>IF(H47 = "","",YEAR(H47))</f>
        <v/>
      </c>
      <c r="O47" s="6">
        <f t="shared" si="0"/>
        <v>0</v>
      </c>
      <c r="P47" s="6" t="str">
        <f t="shared" si="1"/>
        <v>-</v>
      </c>
      <c r="Q47" s="6">
        <f t="shared" si="2"/>
        <v>1</v>
      </c>
      <c r="R47" s="6" t="str">
        <f t="shared" si="3"/>
        <v>-</v>
      </c>
      <c r="S47" s="6" t="str">
        <f t="shared" si="4"/>
        <v>-</v>
      </c>
    </row>
    <row r="48" spans="1:19" ht="14.1" customHeight="1" thickBot="1" x14ac:dyDescent="0.25">
      <c r="A48" s="4" t="str">
        <f>"1475"</f>
        <v>1475</v>
      </c>
      <c r="B48" s="5">
        <v>41969</v>
      </c>
      <c r="C48" s="5">
        <v>41970</v>
      </c>
      <c r="D48" s="4" t="str">
        <f>"14033"</f>
        <v>14033</v>
      </c>
      <c r="E48" s="5">
        <v>41983</v>
      </c>
      <c r="F48" s="4"/>
      <c r="G48" s="4"/>
      <c r="H48" s="4"/>
      <c r="I48" s="4" t="s">
        <v>100</v>
      </c>
      <c r="J48" s="4" t="s">
        <v>42</v>
      </c>
      <c r="K48" s="4" t="s">
        <v>39</v>
      </c>
      <c r="L48" s="4" t="s">
        <v>21</v>
      </c>
      <c r="M48" s="3" t="str">
        <f>IF(H48 = "","",MONTH(H48))</f>
        <v/>
      </c>
      <c r="N48" s="3" t="str">
        <f>IF(H48 = "","",YEAR(H48))</f>
        <v/>
      </c>
      <c r="O48" s="6">
        <f t="shared" si="0"/>
        <v>14</v>
      </c>
      <c r="P48" s="6">
        <f t="shared" si="1"/>
        <v>13</v>
      </c>
      <c r="Q48" s="6" t="str">
        <f t="shared" si="2"/>
        <v>-</v>
      </c>
      <c r="R48" s="6" t="str">
        <f t="shared" si="3"/>
        <v>-</v>
      </c>
      <c r="S48" s="6" t="str">
        <f t="shared" si="4"/>
        <v>-</v>
      </c>
    </row>
    <row r="49" spans="1:19" ht="14.1" customHeight="1" thickBot="1" x14ac:dyDescent="0.25">
      <c r="A49" s="4" t="str">
        <f>"1473"</f>
        <v>1473</v>
      </c>
      <c r="B49" s="5">
        <v>41963</v>
      </c>
      <c r="C49" s="5">
        <v>41967</v>
      </c>
      <c r="D49" s="4" t="str">
        <f>"14028"</f>
        <v>14028</v>
      </c>
      <c r="E49" s="5">
        <v>41970</v>
      </c>
      <c r="F49" s="4"/>
      <c r="G49" s="4"/>
      <c r="H49" s="4"/>
      <c r="I49" s="4" t="s">
        <v>101</v>
      </c>
      <c r="J49" s="4" t="s">
        <v>42</v>
      </c>
      <c r="K49" s="4" t="s">
        <v>39</v>
      </c>
      <c r="L49" s="4" t="s">
        <v>80</v>
      </c>
      <c r="M49" s="3" t="str">
        <f>IF(H49 = "","",MONTH(H49))</f>
        <v/>
      </c>
      <c r="N49" s="3" t="str">
        <f>IF(H49 = "","",YEAR(H49))</f>
        <v/>
      </c>
      <c r="O49" s="6">
        <f t="shared" si="0"/>
        <v>7</v>
      </c>
      <c r="P49" s="6">
        <f t="shared" si="1"/>
        <v>3</v>
      </c>
      <c r="Q49" s="6" t="str">
        <f t="shared" si="2"/>
        <v>-</v>
      </c>
      <c r="R49" s="6" t="str">
        <f t="shared" si="3"/>
        <v>-</v>
      </c>
      <c r="S49" s="6" t="str">
        <f t="shared" si="4"/>
        <v>-</v>
      </c>
    </row>
    <row r="50" spans="1:19" ht="14.1" customHeight="1" thickBot="1" x14ac:dyDescent="0.25">
      <c r="A50" s="4" t="str">
        <f>"1472"</f>
        <v>1472</v>
      </c>
      <c r="B50" s="5">
        <v>41962</v>
      </c>
      <c r="C50" s="4"/>
      <c r="D50" s="4" t="str">
        <f>"14026"</f>
        <v>14026</v>
      </c>
      <c r="E50" s="5">
        <v>41962</v>
      </c>
      <c r="F50" s="5">
        <v>41962</v>
      </c>
      <c r="G50" s="4"/>
      <c r="H50" s="5">
        <v>41962</v>
      </c>
      <c r="I50" s="4" t="s">
        <v>102</v>
      </c>
      <c r="J50" s="4" t="s">
        <v>103</v>
      </c>
      <c r="K50" s="4" t="s">
        <v>39</v>
      </c>
      <c r="L50" s="4" t="s">
        <v>21</v>
      </c>
      <c r="M50" s="3">
        <f>IF(H50 = "","",MONTH(H50))</f>
        <v>11</v>
      </c>
      <c r="N50" s="3">
        <f>IF(H50 = "","",YEAR(H50))</f>
        <v>2014</v>
      </c>
      <c r="O50" s="6">
        <f t="shared" si="0"/>
        <v>0</v>
      </c>
      <c r="P50" s="6" t="str">
        <f t="shared" si="1"/>
        <v>-</v>
      </c>
      <c r="Q50" s="6">
        <f t="shared" si="2"/>
        <v>0</v>
      </c>
      <c r="R50" s="6" t="str">
        <f t="shared" si="3"/>
        <v>-</v>
      </c>
      <c r="S50" s="6">
        <f t="shared" si="4"/>
        <v>0</v>
      </c>
    </row>
    <row r="51" spans="1:19" ht="14.1" customHeight="1" thickBot="1" x14ac:dyDescent="0.25">
      <c r="A51" s="4" t="str">
        <f>"1468"</f>
        <v>1468</v>
      </c>
      <c r="B51" s="5">
        <v>41953</v>
      </c>
      <c r="C51" s="4"/>
      <c r="D51" s="4" t="str">
        <f>"14025"</f>
        <v>14025</v>
      </c>
      <c r="E51" s="5">
        <v>41956</v>
      </c>
      <c r="F51" s="5">
        <v>41956</v>
      </c>
      <c r="G51" s="4"/>
      <c r="H51" s="5">
        <v>41956</v>
      </c>
      <c r="I51" s="4" t="s">
        <v>105</v>
      </c>
      <c r="J51" s="4" t="s">
        <v>103</v>
      </c>
      <c r="K51" s="4" t="s">
        <v>39</v>
      </c>
      <c r="L51" s="4" t="s">
        <v>21</v>
      </c>
      <c r="M51" s="3">
        <f>IF(H51 = "","",MONTH(H51))</f>
        <v>11</v>
      </c>
      <c r="N51" s="3">
        <f>IF(H51 = "","",YEAR(H51))</f>
        <v>2014</v>
      </c>
      <c r="O51" s="6">
        <f t="shared" si="0"/>
        <v>3</v>
      </c>
      <c r="P51" s="6" t="str">
        <f t="shared" si="1"/>
        <v>-</v>
      </c>
      <c r="Q51" s="6">
        <f t="shared" si="2"/>
        <v>0</v>
      </c>
      <c r="R51" s="6" t="str">
        <f t="shared" si="3"/>
        <v>-</v>
      </c>
      <c r="S51" s="6">
        <f t="shared" si="4"/>
        <v>0</v>
      </c>
    </row>
    <row r="52" spans="1:19" ht="14.1" customHeight="1" thickBot="1" x14ac:dyDescent="0.25">
      <c r="A52" s="4" t="str">
        <f>"1461"</f>
        <v>1461</v>
      </c>
      <c r="B52" s="5">
        <v>41939</v>
      </c>
      <c r="C52" s="5">
        <v>41946</v>
      </c>
      <c r="D52" s="4" t="str">
        <f>"14022"</f>
        <v>14022</v>
      </c>
      <c r="E52" s="5">
        <v>41941</v>
      </c>
      <c r="F52" s="5">
        <v>42037</v>
      </c>
      <c r="G52" s="5">
        <v>42053</v>
      </c>
      <c r="H52" s="5">
        <v>42169</v>
      </c>
      <c r="I52" s="4" t="s">
        <v>106</v>
      </c>
      <c r="J52" s="4" t="s">
        <v>42</v>
      </c>
      <c r="K52" s="4" t="s">
        <v>39</v>
      </c>
      <c r="L52" s="4" t="s">
        <v>21</v>
      </c>
      <c r="M52" s="3">
        <f>IF(H52 = "","",MONTH(H52))</f>
        <v>6</v>
      </c>
      <c r="N52" s="3">
        <f>IF(H52 = "","",YEAR(H52))</f>
        <v>2015</v>
      </c>
      <c r="O52" s="6">
        <f t="shared" si="0"/>
        <v>2</v>
      </c>
      <c r="P52" s="6">
        <f t="shared" si="1"/>
        <v>-4</v>
      </c>
      <c r="Q52" s="6">
        <f t="shared" si="2"/>
        <v>93</v>
      </c>
      <c r="R52" s="6">
        <f t="shared" si="3"/>
        <v>109</v>
      </c>
      <c r="S52" s="6">
        <f t="shared" si="4"/>
        <v>225</v>
      </c>
    </row>
    <row r="53" spans="1:19" ht="14.1" customHeight="1" thickBot="1" x14ac:dyDescent="0.25">
      <c r="A53" s="4" t="str">
        <f>"1455"</f>
        <v>1455</v>
      </c>
      <c r="B53" s="5">
        <v>41913</v>
      </c>
      <c r="C53" s="5">
        <v>41926</v>
      </c>
      <c r="D53" s="4" t="str">
        <f>"14023"</f>
        <v>14023</v>
      </c>
      <c r="E53" s="5">
        <v>41942</v>
      </c>
      <c r="F53" s="5">
        <v>41943</v>
      </c>
      <c r="G53" s="4"/>
      <c r="H53" s="5">
        <v>41943</v>
      </c>
      <c r="I53" s="4" t="s">
        <v>107</v>
      </c>
      <c r="J53" s="4" t="s">
        <v>108</v>
      </c>
      <c r="K53" s="4" t="s">
        <v>39</v>
      </c>
      <c r="L53" s="4" t="s">
        <v>21</v>
      </c>
      <c r="M53" s="3">
        <f>IF(H53 = "","",MONTH(H53))</f>
        <v>10</v>
      </c>
      <c r="N53" s="3">
        <f>IF(H53 = "","",YEAR(H53))</f>
        <v>2014</v>
      </c>
      <c r="O53" s="6">
        <f t="shared" si="0"/>
        <v>29</v>
      </c>
      <c r="P53" s="6">
        <f t="shared" si="1"/>
        <v>16</v>
      </c>
      <c r="Q53" s="6">
        <f t="shared" si="2"/>
        <v>0</v>
      </c>
      <c r="R53" s="6" t="str">
        <f t="shared" si="3"/>
        <v>-</v>
      </c>
      <c r="S53" s="6">
        <f t="shared" si="4"/>
        <v>0</v>
      </c>
    </row>
    <row r="54" spans="1:19" ht="14.1" customHeight="1" thickBot="1" x14ac:dyDescent="0.25">
      <c r="A54" s="4" t="str">
        <f>"1449"</f>
        <v>1449</v>
      </c>
      <c r="B54" s="5">
        <v>41905</v>
      </c>
      <c r="C54" s="4"/>
      <c r="D54" s="4" t="str">
        <f>"14021"</f>
        <v>14021</v>
      </c>
      <c r="E54" s="5">
        <v>41911</v>
      </c>
      <c r="F54" s="5">
        <v>41946</v>
      </c>
      <c r="G54" s="5">
        <v>42023</v>
      </c>
      <c r="H54" s="4"/>
      <c r="I54" s="4" t="s">
        <v>109</v>
      </c>
      <c r="J54" s="4" t="s">
        <v>42</v>
      </c>
      <c r="K54" s="4" t="s">
        <v>39</v>
      </c>
      <c r="L54" s="4" t="s">
        <v>21</v>
      </c>
      <c r="M54" s="3" t="str">
        <f>IF(H54 = "","",MONTH(H54))</f>
        <v/>
      </c>
      <c r="N54" s="3" t="str">
        <f>IF(H54 = "","",YEAR(H54))</f>
        <v/>
      </c>
      <c r="O54" s="6">
        <f t="shared" si="0"/>
        <v>6</v>
      </c>
      <c r="P54" s="6" t="str">
        <f t="shared" si="1"/>
        <v>-</v>
      </c>
      <c r="Q54" s="6">
        <f t="shared" si="2"/>
        <v>34</v>
      </c>
      <c r="R54" s="6">
        <f t="shared" si="3"/>
        <v>110</v>
      </c>
      <c r="S54" s="6" t="str">
        <f t="shared" si="4"/>
        <v>-</v>
      </c>
    </row>
    <row r="55" spans="1:19" ht="14.1" customHeight="1" thickBot="1" x14ac:dyDescent="0.25">
      <c r="A55" s="4" t="str">
        <f>"1446"</f>
        <v>1446</v>
      </c>
      <c r="B55" s="5">
        <v>41892</v>
      </c>
      <c r="C55" s="5">
        <v>41897</v>
      </c>
      <c r="D55" s="4" t="str">
        <f>"14019"</f>
        <v>14019</v>
      </c>
      <c r="E55" s="5">
        <v>41898</v>
      </c>
      <c r="F55" s="5">
        <v>42005</v>
      </c>
      <c r="G55" s="4"/>
      <c r="H55" s="4"/>
      <c r="I55" s="4" t="s">
        <v>110</v>
      </c>
      <c r="J55" s="4" t="s">
        <v>111</v>
      </c>
      <c r="K55" s="4" t="s">
        <v>39</v>
      </c>
      <c r="L55" s="4" t="s">
        <v>47</v>
      </c>
      <c r="M55" s="3" t="str">
        <f>IF(H55 = "","",MONTH(H55))</f>
        <v/>
      </c>
      <c r="N55" s="3" t="str">
        <f>IF(H55 = "","",YEAR(H55))</f>
        <v/>
      </c>
      <c r="O55" s="6">
        <f t="shared" si="0"/>
        <v>6</v>
      </c>
      <c r="P55" s="6">
        <f t="shared" si="1"/>
        <v>1</v>
      </c>
      <c r="Q55" s="6">
        <f t="shared" si="2"/>
        <v>105</v>
      </c>
      <c r="R55" s="6" t="str">
        <f t="shared" si="3"/>
        <v>-</v>
      </c>
      <c r="S55" s="6" t="str">
        <f t="shared" si="4"/>
        <v>-</v>
      </c>
    </row>
    <row r="56" spans="1:19" ht="14.1" customHeight="1" thickBot="1" x14ac:dyDescent="0.25">
      <c r="A56" s="4" t="str">
        <f>"1444"</f>
        <v>1444</v>
      </c>
      <c r="B56" s="5">
        <v>41887</v>
      </c>
      <c r="C56" s="4"/>
      <c r="D56" s="4" t="str">
        <f>"14024"</f>
        <v>14024</v>
      </c>
      <c r="E56" s="5">
        <v>41891</v>
      </c>
      <c r="F56" s="4"/>
      <c r="G56" s="4"/>
      <c r="H56" s="4"/>
      <c r="I56" s="4" t="s">
        <v>112</v>
      </c>
      <c r="J56" s="4" t="s">
        <v>38</v>
      </c>
      <c r="K56" s="4" t="s">
        <v>39</v>
      </c>
      <c r="L56" s="4" t="s">
        <v>80</v>
      </c>
      <c r="M56" s="3" t="str">
        <f>IF(H56 = "","",MONTH(H56))</f>
        <v/>
      </c>
      <c r="N56" s="3" t="str">
        <f>IF(H56 = "","",YEAR(H56))</f>
        <v/>
      </c>
      <c r="O56" s="6">
        <f t="shared" si="0"/>
        <v>4</v>
      </c>
      <c r="P56" s="6" t="str">
        <f t="shared" si="1"/>
        <v>-</v>
      </c>
      <c r="Q56" s="6" t="str">
        <f t="shared" si="2"/>
        <v>-</v>
      </c>
      <c r="R56" s="6" t="str">
        <f t="shared" si="3"/>
        <v>-</v>
      </c>
      <c r="S56" s="6" t="str">
        <f t="shared" si="4"/>
        <v>-</v>
      </c>
    </row>
    <row r="57" spans="1:19" ht="14.1" customHeight="1" thickBot="1" x14ac:dyDescent="0.25">
      <c r="A57" s="4" t="str">
        <f>"1445"</f>
        <v>1445</v>
      </c>
      <c r="B57" s="5">
        <v>41886</v>
      </c>
      <c r="C57" s="4"/>
      <c r="D57" s="4" t="str">
        <f>"14015"</f>
        <v>14015</v>
      </c>
      <c r="E57" s="5">
        <v>41886</v>
      </c>
      <c r="F57" s="5">
        <v>41886</v>
      </c>
      <c r="G57" s="4"/>
      <c r="H57" s="5">
        <v>41886</v>
      </c>
      <c r="I57" s="4" t="s">
        <v>113</v>
      </c>
      <c r="J57" s="4" t="s">
        <v>103</v>
      </c>
      <c r="K57" s="4" t="s">
        <v>39</v>
      </c>
      <c r="L57" s="4" t="s">
        <v>21</v>
      </c>
      <c r="M57" s="3">
        <f>IF(H57 = "","",MONTH(H57))</f>
        <v>9</v>
      </c>
      <c r="N57" s="3">
        <f>IF(H57 = "","",YEAR(H57))</f>
        <v>2014</v>
      </c>
      <c r="O57" s="6">
        <f t="shared" si="0"/>
        <v>0</v>
      </c>
      <c r="P57" s="6" t="str">
        <f t="shared" si="1"/>
        <v>-</v>
      </c>
      <c r="Q57" s="6">
        <f t="shared" si="2"/>
        <v>0</v>
      </c>
      <c r="R57" s="6" t="str">
        <f t="shared" si="3"/>
        <v>-</v>
      </c>
      <c r="S57" s="6">
        <f t="shared" si="4"/>
        <v>0</v>
      </c>
    </row>
    <row r="58" spans="1:19" ht="14.1" customHeight="1" thickBot="1" x14ac:dyDescent="0.25">
      <c r="A58" s="4" t="str">
        <f>"1441"</f>
        <v>1441</v>
      </c>
      <c r="B58" s="5">
        <v>41837</v>
      </c>
      <c r="C58" s="4"/>
      <c r="D58" s="4" t="str">
        <f>"14030"</f>
        <v>14030</v>
      </c>
      <c r="E58" s="5">
        <v>41975</v>
      </c>
      <c r="F58" s="5">
        <v>41990</v>
      </c>
      <c r="G58" s="5">
        <v>42256</v>
      </c>
      <c r="H58" s="4"/>
      <c r="I58" s="4" t="s">
        <v>114</v>
      </c>
      <c r="J58" s="4" t="s">
        <v>115</v>
      </c>
      <c r="K58" s="4" t="s">
        <v>39</v>
      </c>
      <c r="L58" s="4" t="s">
        <v>50</v>
      </c>
      <c r="M58" s="3" t="str">
        <f>IF(H58 = "","",MONTH(H58))</f>
        <v/>
      </c>
      <c r="N58" s="3" t="str">
        <f>IF(H58 = "","",YEAR(H58))</f>
        <v/>
      </c>
      <c r="O58" s="6">
        <f t="shared" si="0"/>
        <v>135</v>
      </c>
      <c r="P58" s="6" t="str">
        <f t="shared" si="1"/>
        <v>-</v>
      </c>
      <c r="Q58" s="6">
        <f t="shared" si="2"/>
        <v>15</v>
      </c>
      <c r="R58" s="6">
        <f t="shared" si="3"/>
        <v>277</v>
      </c>
      <c r="S58" s="6" t="str">
        <f t="shared" si="4"/>
        <v>-</v>
      </c>
    </row>
    <row r="59" spans="1:19" ht="14.1" customHeight="1" thickBot="1" x14ac:dyDescent="0.25">
      <c r="A59" s="4" t="str">
        <f>"1438"</f>
        <v>1438</v>
      </c>
      <c r="B59" s="5">
        <v>41829</v>
      </c>
      <c r="C59" s="4"/>
      <c r="D59" s="4" t="str">
        <f>"14010"</f>
        <v>14010</v>
      </c>
      <c r="E59" s="5">
        <v>41829</v>
      </c>
      <c r="F59" s="5">
        <v>41969</v>
      </c>
      <c r="G59" s="4"/>
      <c r="H59" s="4"/>
      <c r="I59" s="4" t="s">
        <v>116</v>
      </c>
      <c r="J59" s="4" t="s">
        <v>117</v>
      </c>
      <c r="K59" s="4" t="s">
        <v>118</v>
      </c>
      <c r="L59" s="4" t="s">
        <v>21</v>
      </c>
      <c r="M59" s="3" t="str">
        <f>IF(H59 = "","",MONTH(H59))</f>
        <v/>
      </c>
      <c r="N59" s="3" t="str">
        <f>IF(H59 = "","",YEAR(H59))</f>
        <v/>
      </c>
      <c r="O59" s="6">
        <f t="shared" si="0"/>
        <v>0</v>
      </c>
      <c r="P59" s="6" t="str">
        <f t="shared" si="1"/>
        <v>-</v>
      </c>
      <c r="Q59" s="6">
        <f t="shared" si="2"/>
        <v>137</v>
      </c>
      <c r="R59" s="6" t="str">
        <f t="shared" si="3"/>
        <v>-</v>
      </c>
      <c r="S59" s="6" t="str">
        <f t="shared" si="4"/>
        <v>-</v>
      </c>
    </row>
    <row r="60" spans="1:19" ht="14.1" customHeight="1" thickBot="1" x14ac:dyDescent="0.25">
      <c r="A60" s="4" t="str">
        <f>"1436"</f>
        <v>1436</v>
      </c>
      <c r="B60" s="5">
        <v>41820</v>
      </c>
      <c r="C60" s="5">
        <v>41885</v>
      </c>
      <c r="D60" s="4" t="str">
        <f>"14014"</f>
        <v>14014</v>
      </c>
      <c r="E60" s="5">
        <v>41848</v>
      </c>
      <c r="F60" s="5">
        <v>41906</v>
      </c>
      <c r="G60" s="5">
        <v>41942</v>
      </c>
      <c r="H60" s="5">
        <v>42041</v>
      </c>
      <c r="I60" s="4" t="s">
        <v>119</v>
      </c>
      <c r="J60" s="4" t="s">
        <v>42</v>
      </c>
      <c r="K60" s="4" t="s">
        <v>39</v>
      </c>
      <c r="L60" s="4" t="s">
        <v>16</v>
      </c>
      <c r="M60" s="3">
        <f>IF(H60 = "","",MONTH(H60))</f>
        <v>2</v>
      </c>
      <c r="N60" s="3">
        <f>IF(H60 = "","",YEAR(H60))</f>
        <v>2015</v>
      </c>
      <c r="O60" s="6">
        <f t="shared" si="0"/>
        <v>28</v>
      </c>
      <c r="P60" s="6">
        <f t="shared" si="1"/>
        <v>-35</v>
      </c>
      <c r="Q60" s="6">
        <f t="shared" si="2"/>
        <v>56</v>
      </c>
      <c r="R60" s="6">
        <f t="shared" si="3"/>
        <v>92</v>
      </c>
      <c r="S60" s="6">
        <f t="shared" si="4"/>
        <v>188</v>
      </c>
    </row>
    <row r="61" spans="1:19" ht="14.1" customHeight="1" thickBot="1" x14ac:dyDescent="0.25">
      <c r="A61" s="4" t="str">
        <f>"1434"</f>
        <v>1434</v>
      </c>
      <c r="B61" s="5">
        <v>41815</v>
      </c>
      <c r="C61" s="4"/>
      <c r="D61" s="4" t="str">
        <f>"14006"</f>
        <v>14006</v>
      </c>
      <c r="E61" s="5">
        <v>41816</v>
      </c>
      <c r="F61" s="5">
        <v>41821</v>
      </c>
      <c r="G61" s="4"/>
      <c r="H61" s="5">
        <v>41821</v>
      </c>
      <c r="I61" s="4" t="s">
        <v>120</v>
      </c>
      <c r="J61" s="4" t="s">
        <v>121</v>
      </c>
      <c r="K61" s="4" t="s">
        <v>39</v>
      </c>
      <c r="L61" s="4" t="s">
        <v>21</v>
      </c>
      <c r="M61" s="3">
        <f>IF(H61 = "","",MONTH(H61))</f>
        <v>7</v>
      </c>
      <c r="N61" s="3">
        <f>IF(H61 = "","",YEAR(H61))</f>
        <v>2014</v>
      </c>
      <c r="O61" s="6">
        <f t="shared" si="0"/>
        <v>1</v>
      </c>
      <c r="P61" s="6" t="str">
        <f t="shared" si="1"/>
        <v>-</v>
      </c>
      <c r="Q61" s="6">
        <f t="shared" si="2"/>
        <v>5</v>
      </c>
      <c r="R61" s="6" t="str">
        <f t="shared" si="3"/>
        <v>-</v>
      </c>
      <c r="S61" s="6">
        <f t="shared" si="4"/>
        <v>5</v>
      </c>
    </row>
    <row r="62" spans="1:19" ht="14.1" customHeight="1" thickBot="1" x14ac:dyDescent="0.25">
      <c r="A62" s="4" t="str">
        <f>"1435"</f>
        <v>1435</v>
      </c>
      <c r="B62" s="5">
        <v>41815</v>
      </c>
      <c r="C62" s="4"/>
      <c r="D62" s="4" t="str">
        <f>"14007"</f>
        <v>14007</v>
      </c>
      <c r="E62" s="5">
        <v>41815</v>
      </c>
      <c r="F62" s="5">
        <v>41821</v>
      </c>
      <c r="G62" s="4"/>
      <c r="H62" s="5">
        <v>41821</v>
      </c>
      <c r="I62" s="4" t="s">
        <v>122</v>
      </c>
      <c r="J62" s="4" t="s">
        <v>121</v>
      </c>
      <c r="K62" s="4" t="s">
        <v>39</v>
      </c>
      <c r="L62" s="4" t="s">
        <v>21</v>
      </c>
      <c r="M62" s="3">
        <f>IF(H62 = "","",MONTH(H62))</f>
        <v>7</v>
      </c>
      <c r="N62" s="3">
        <f>IF(H62 = "","",YEAR(H62))</f>
        <v>2014</v>
      </c>
      <c r="O62" s="6">
        <f t="shared" si="0"/>
        <v>0</v>
      </c>
      <c r="P62" s="6" t="str">
        <f t="shared" si="1"/>
        <v>-</v>
      </c>
      <c r="Q62" s="6">
        <f t="shared" si="2"/>
        <v>6</v>
      </c>
      <c r="R62" s="6" t="str">
        <f t="shared" si="3"/>
        <v>-</v>
      </c>
      <c r="S62" s="6">
        <f t="shared" si="4"/>
        <v>6</v>
      </c>
    </row>
    <row r="63" spans="1:19" ht="14.1" customHeight="1" thickBot="1" x14ac:dyDescent="0.25">
      <c r="A63" s="4" t="str">
        <f>"1432"</f>
        <v>1432</v>
      </c>
      <c r="B63" s="5">
        <v>41813</v>
      </c>
      <c r="C63" s="5">
        <v>41837</v>
      </c>
      <c r="D63" s="4" t="str">
        <f>"14011"</f>
        <v>14011</v>
      </c>
      <c r="E63" s="5">
        <v>41838</v>
      </c>
      <c r="F63" s="4"/>
      <c r="G63" s="5">
        <v>41876</v>
      </c>
      <c r="H63" s="5">
        <v>41918</v>
      </c>
      <c r="I63" s="4" t="s">
        <v>123</v>
      </c>
      <c r="J63" s="4" t="s">
        <v>42</v>
      </c>
      <c r="K63" s="4" t="s">
        <v>39</v>
      </c>
      <c r="L63" s="4" t="s">
        <v>21</v>
      </c>
      <c r="M63" s="3">
        <f>IF(H63 = "","",MONTH(H63))</f>
        <v>10</v>
      </c>
      <c r="N63" s="3">
        <f>IF(H63 = "","",YEAR(H63))</f>
        <v>2014</v>
      </c>
      <c r="O63" s="6">
        <f t="shared" si="0"/>
        <v>25</v>
      </c>
      <c r="P63" s="6">
        <f t="shared" si="1"/>
        <v>1</v>
      </c>
      <c r="Q63" s="6" t="str">
        <f t="shared" si="2"/>
        <v>-</v>
      </c>
      <c r="R63" s="6">
        <f t="shared" si="3"/>
        <v>37</v>
      </c>
      <c r="S63" s="6">
        <f t="shared" si="4"/>
        <v>78</v>
      </c>
    </row>
    <row r="64" spans="1:19" ht="14.1" customHeight="1" thickBot="1" x14ac:dyDescent="0.25">
      <c r="A64" s="4" t="str">
        <f>"1430"</f>
        <v>1430</v>
      </c>
      <c r="B64" s="5">
        <v>41803</v>
      </c>
      <c r="C64" s="5">
        <v>41809</v>
      </c>
      <c r="D64" s="4" t="str">
        <f>"14029"</f>
        <v>14029</v>
      </c>
      <c r="E64" s="5">
        <v>41971</v>
      </c>
      <c r="F64" s="4"/>
      <c r="G64" s="5">
        <v>42193</v>
      </c>
      <c r="H64" s="4"/>
      <c r="I64" s="4" t="s">
        <v>124</v>
      </c>
      <c r="J64" s="4" t="s">
        <v>84</v>
      </c>
      <c r="K64" s="4" t="s">
        <v>39</v>
      </c>
      <c r="L64" s="4" t="s">
        <v>50</v>
      </c>
      <c r="M64" s="3" t="str">
        <f>IF(H64 = "","",MONTH(H64))</f>
        <v/>
      </c>
      <c r="N64" s="3" t="str">
        <f>IF(H64 = "","",YEAR(H64))</f>
        <v/>
      </c>
      <c r="O64" s="6">
        <f t="shared" si="0"/>
        <v>165</v>
      </c>
      <c r="P64" s="6">
        <f t="shared" si="1"/>
        <v>159</v>
      </c>
      <c r="Q64" s="6" t="str">
        <f t="shared" si="2"/>
        <v>-</v>
      </c>
      <c r="R64" s="6">
        <f t="shared" si="3"/>
        <v>220</v>
      </c>
      <c r="S64" s="6" t="str">
        <f t="shared" si="4"/>
        <v>-</v>
      </c>
    </row>
    <row r="65" spans="1:19" ht="14.1" customHeight="1" thickBot="1" x14ac:dyDescent="0.25">
      <c r="A65" s="4" t="str">
        <f>"1424"</f>
        <v>1424</v>
      </c>
      <c r="B65" s="5">
        <v>41794</v>
      </c>
      <c r="C65" s="5">
        <v>41820</v>
      </c>
      <c r="D65" s="4" t="str">
        <f>"14012"</f>
        <v>14012</v>
      </c>
      <c r="E65" s="5">
        <v>41842</v>
      </c>
      <c r="F65" s="5">
        <v>41852</v>
      </c>
      <c r="G65" s="5">
        <v>41960</v>
      </c>
      <c r="H65" s="4"/>
      <c r="I65" s="4" t="s">
        <v>125</v>
      </c>
      <c r="J65" s="4" t="s">
        <v>42</v>
      </c>
      <c r="K65" s="4" t="s">
        <v>56</v>
      </c>
      <c r="L65" s="4" t="s">
        <v>50</v>
      </c>
      <c r="M65" s="3" t="str">
        <f>IF(H65 = "","",MONTH(H65))</f>
        <v/>
      </c>
      <c r="N65" s="3" t="str">
        <f>IF(H65 = "","",YEAR(H65))</f>
        <v/>
      </c>
      <c r="O65" s="6">
        <f t="shared" si="0"/>
        <v>48</v>
      </c>
      <c r="P65" s="6">
        <f t="shared" si="1"/>
        <v>22</v>
      </c>
      <c r="Q65" s="6">
        <f t="shared" si="2"/>
        <v>9</v>
      </c>
      <c r="R65" s="6">
        <f t="shared" si="3"/>
        <v>115</v>
      </c>
      <c r="S65" s="6" t="str">
        <f t="shared" si="4"/>
        <v>-</v>
      </c>
    </row>
    <row r="66" spans="1:19" ht="14.1" customHeight="1" thickBot="1" x14ac:dyDescent="0.25">
      <c r="A66" s="4" t="str">
        <f>"1422"</f>
        <v>1422</v>
      </c>
      <c r="B66" s="5">
        <v>41785</v>
      </c>
      <c r="C66" s="4"/>
      <c r="D66" s="4" t="str">
        <f>"14004"</f>
        <v>14004</v>
      </c>
      <c r="E66" s="5">
        <v>41800</v>
      </c>
      <c r="F66" s="5">
        <v>41817</v>
      </c>
      <c r="G66" s="5">
        <v>41821</v>
      </c>
      <c r="H66" s="5">
        <v>41918</v>
      </c>
      <c r="I66" s="4" t="s">
        <v>128</v>
      </c>
      <c r="J66" s="4" t="s">
        <v>42</v>
      </c>
      <c r="K66" s="4" t="s">
        <v>39</v>
      </c>
      <c r="L66" s="4" t="s">
        <v>21</v>
      </c>
      <c r="M66" s="3">
        <f>IF(H66 = "","",MONTH(H66))</f>
        <v>10</v>
      </c>
      <c r="N66" s="3">
        <f>IF(H66 = "","",YEAR(H66))</f>
        <v>2014</v>
      </c>
      <c r="O66" s="6">
        <f t="shared" si="0"/>
        <v>14</v>
      </c>
      <c r="P66" s="6" t="str">
        <f t="shared" si="1"/>
        <v>-</v>
      </c>
      <c r="Q66" s="6">
        <f t="shared" si="2"/>
        <v>17</v>
      </c>
      <c r="R66" s="6">
        <f t="shared" si="3"/>
        <v>21</v>
      </c>
      <c r="S66" s="6">
        <f t="shared" si="4"/>
        <v>116</v>
      </c>
    </row>
    <row r="67" spans="1:19" ht="14.1" customHeight="1" thickBot="1" x14ac:dyDescent="0.25">
      <c r="A67" s="4" t="str">
        <f>"1419"</f>
        <v>1419</v>
      </c>
      <c r="B67" s="5">
        <v>41779</v>
      </c>
      <c r="C67" s="5">
        <v>41779</v>
      </c>
      <c r="D67" s="4" t="str">
        <f>"14013"</f>
        <v>14013</v>
      </c>
      <c r="E67" s="5">
        <v>41848</v>
      </c>
      <c r="F67" s="4"/>
      <c r="G67" s="5">
        <v>41911</v>
      </c>
      <c r="H67" s="5">
        <v>42041</v>
      </c>
      <c r="I67" s="4" t="s">
        <v>129</v>
      </c>
      <c r="J67" s="4" t="s">
        <v>42</v>
      </c>
      <c r="K67" s="4" t="s">
        <v>39</v>
      </c>
      <c r="L67" s="4" t="s">
        <v>21</v>
      </c>
      <c r="M67" s="3">
        <f>IF(H67 = "","",MONTH(H67))</f>
        <v>2</v>
      </c>
      <c r="N67" s="3">
        <f>IF(H67 = "","",YEAR(H67))</f>
        <v>2015</v>
      </c>
      <c r="O67" s="6">
        <f t="shared" si="0"/>
        <v>68</v>
      </c>
      <c r="P67" s="6">
        <f t="shared" si="1"/>
        <v>68</v>
      </c>
      <c r="Q67" s="6" t="str">
        <f t="shared" si="2"/>
        <v>-</v>
      </c>
      <c r="R67" s="6">
        <f t="shared" si="3"/>
        <v>61</v>
      </c>
      <c r="S67" s="6">
        <f t="shared" si="4"/>
        <v>188</v>
      </c>
    </row>
    <row r="68" spans="1:19" ht="14.1" customHeight="1" thickBot="1" x14ac:dyDescent="0.25">
      <c r="A68" s="4" t="str">
        <f>"1420"</f>
        <v>1420</v>
      </c>
      <c r="B68" s="5">
        <v>41779</v>
      </c>
      <c r="C68" s="5">
        <v>41780</v>
      </c>
      <c r="D68" s="4" t="str">
        <f>"14018"</f>
        <v>14018</v>
      </c>
      <c r="E68" s="5">
        <v>41892</v>
      </c>
      <c r="F68" s="4"/>
      <c r="G68" s="5">
        <v>41926</v>
      </c>
      <c r="H68" s="4"/>
      <c r="I68" s="4" t="s">
        <v>130</v>
      </c>
      <c r="J68" s="4" t="s">
        <v>84</v>
      </c>
      <c r="K68" s="4" t="s">
        <v>39</v>
      </c>
      <c r="L68" s="4" t="s">
        <v>21</v>
      </c>
      <c r="M68" s="3" t="str">
        <f>IF(H68 = "","",MONTH(H68))</f>
        <v/>
      </c>
      <c r="N68" s="3" t="str">
        <f>IF(H68 = "","",YEAR(H68))</f>
        <v/>
      </c>
      <c r="O68" s="6">
        <f t="shared" si="0"/>
        <v>110</v>
      </c>
      <c r="P68" s="6">
        <f t="shared" si="1"/>
        <v>109</v>
      </c>
      <c r="Q68" s="6" t="str">
        <f t="shared" si="2"/>
        <v>-</v>
      </c>
      <c r="R68" s="6">
        <f t="shared" si="3"/>
        <v>34</v>
      </c>
      <c r="S68" s="6" t="str">
        <f t="shared" si="4"/>
        <v>-</v>
      </c>
    </row>
    <row r="69" spans="1:19" ht="14.1" customHeight="1" thickBot="1" x14ac:dyDescent="0.25">
      <c r="A69" s="4" t="str">
        <f>"1418"</f>
        <v>1418</v>
      </c>
      <c r="B69" s="5">
        <v>41778</v>
      </c>
      <c r="C69" s="5">
        <v>41780</v>
      </c>
      <c r="D69" s="4" t="str">
        <f>"14017"</f>
        <v>14017</v>
      </c>
      <c r="E69" s="5">
        <v>41891</v>
      </c>
      <c r="F69" s="4"/>
      <c r="G69" s="5">
        <v>41925</v>
      </c>
      <c r="H69" s="5">
        <v>42100</v>
      </c>
      <c r="I69" s="4" t="s">
        <v>131</v>
      </c>
      <c r="J69" s="4" t="s">
        <v>42</v>
      </c>
      <c r="K69" s="4" t="s">
        <v>39</v>
      </c>
      <c r="L69" s="4" t="s">
        <v>21</v>
      </c>
      <c r="M69" s="3">
        <f>IF(H69 = "","",MONTH(H69))</f>
        <v>4</v>
      </c>
      <c r="N69" s="3">
        <f>IF(H69 = "","",YEAR(H69))</f>
        <v>2015</v>
      </c>
      <c r="O69" s="6">
        <f t="shared" si="0"/>
        <v>110</v>
      </c>
      <c r="P69" s="6">
        <f t="shared" si="1"/>
        <v>108</v>
      </c>
      <c r="Q69" s="6" t="str">
        <f t="shared" si="2"/>
        <v>-</v>
      </c>
      <c r="R69" s="6">
        <f t="shared" si="3"/>
        <v>34</v>
      </c>
      <c r="S69" s="6">
        <f t="shared" si="4"/>
        <v>207</v>
      </c>
    </row>
    <row r="70" spans="1:19" ht="14.1" customHeight="1" thickBot="1" x14ac:dyDescent="0.25">
      <c r="A70" s="4" t="str">
        <f>"1409"</f>
        <v>1409</v>
      </c>
      <c r="B70" s="5">
        <v>41765</v>
      </c>
      <c r="C70" s="5">
        <v>41814</v>
      </c>
      <c r="D70" s="4" t="str">
        <f>"14009"</f>
        <v>14009</v>
      </c>
      <c r="E70" s="5">
        <v>41829</v>
      </c>
      <c r="F70" s="5">
        <v>41845</v>
      </c>
      <c r="G70" s="5">
        <v>41949</v>
      </c>
      <c r="H70" s="4"/>
      <c r="I70" s="4" t="s">
        <v>132</v>
      </c>
      <c r="J70" s="4" t="s">
        <v>133</v>
      </c>
      <c r="K70" s="4" t="s">
        <v>39</v>
      </c>
      <c r="L70" s="4" t="s">
        <v>86</v>
      </c>
      <c r="M70" s="3" t="str">
        <f>IF(H70 = "","",MONTH(H70))</f>
        <v/>
      </c>
      <c r="N70" s="3" t="str">
        <f>IF(H70 = "","",YEAR(H70))</f>
        <v/>
      </c>
      <c r="O70" s="6">
        <f t="shared" si="0"/>
        <v>63</v>
      </c>
      <c r="P70" s="6">
        <f t="shared" si="1"/>
        <v>15</v>
      </c>
      <c r="Q70" s="6">
        <f t="shared" si="2"/>
        <v>16</v>
      </c>
      <c r="R70" s="6">
        <f t="shared" si="3"/>
        <v>117</v>
      </c>
      <c r="S70" s="6" t="str">
        <f t="shared" si="4"/>
        <v>-</v>
      </c>
    </row>
    <row r="71" spans="1:19" ht="14.1" customHeight="1" thickBot="1" x14ac:dyDescent="0.25">
      <c r="A71" s="4" t="str">
        <f>"1407"</f>
        <v>1407</v>
      </c>
      <c r="B71" s="5">
        <v>41759</v>
      </c>
      <c r="C71" s="5">
        <v>41802</v>
      </c>
      <c r="D71" s="4" t="str">
        <f>"14008"</f>
        <v>14008</v>
      </c>
      <c r="E71" s="5">
        <v>41817</v>
      </c>
      <c r="F71" s="5">
        <v>41899</v>
      </c>
      <c r="G71" s="5">
        <v>41969</v>
      </c>
      <c r="H71" s="4"/>
      <c r="I71" s="4" t="s">
        <v>134</v>
      </c>
      <c r="J71" s="4" t="s">
        <v>135</v>
      </c>
      <c r="K71" s="4" t="s">
        <v>39</v>
      </c>
      <c r="L71" s="4" t="s">
        <v>21</v>
      </c>
      <c r="M71" s="3" t="str">
        <f>IF(H71 = "","",MONTH(H71))</f>
        <v/>
      </c>
      <c r="N71" s="3" t="str">
        <f>IF(H71 = "","",YEAR(H71))</f>
        <v/>
      </c>
      <c r="O71" s="6">
        <f t="shared" si="0"/>
        <v>57</v>
      </c>
      <c r="P71" s="6">
        <f t="shared" si="1"/>
        <v>15</v>
      </c>
      <c r="Q71" s="6">
        <f t="shared" si="2"/>
        <v>80</v>
      </c>
      <c r="R71" s="6">
        <f t="shared" si="3"/>
        <v>149</v>
      </c>
      <c r="S71" s="6" t="str">
        <f t="shared" si="4"/>
        <v>-</v>
      </c>
    </row>
    <row r="72" spans="1:19" ht="14.1" customHeight="1" thickBot="1" x14ac:dyDescent="0.25">
      <c r="A72" s="4" t="str">
        <f>"1405"</f>
        <v>1405</v>
      </c>
      <c r="B72" s="5">
        <v>41746</v>
      </c>
      <c r="C72" s="4"/>
      <c r="D72" s="4" t="str">
        <f>"14002"</f>
        <v>14002</v>
      </c>
      <c r="E72" s="5">
        <v>41745</v>
      </c>
      <c r="F72" s="5">
        <v>41746</v>
      </c>
      <c r="G72" s="4"/>
      <c r="H72" s="5">
        <v>41746</v>
      </c>
      <c r="I72" s="4" t="s">
        <v>136</v>
      </c>
      <c r="J72" s="4" t="s">
        <v>121</v>
      </c>
      <c r="K72" s="4" t="s">
        <v>39</v>
      </c>
      <c r="L72" s="4" t="s">
        <v>21</v>
      </c>
      <c r="M72" s="3">
        <f>IF(H72 = "","",MONTH(H72))</f>
        <v>4</v>
      </c>
      <c r="N72" s="3">
        <f>IF(H72 = "","",YEAR(H72))</f>
        <v>2014</v>
      </c>
      <c r="O72" s="6">
        <f t="shared" si="0"/>
        <v>-1</v>
      </c>
      <c r="P72" s="6" t="str">
        <f t="shared" si="1"/>
        <v>-</v>
      </c>
      <c r="Q72" s="6">
        <f t="shared" si="2"/>
        <v>1</v>
      </c>
      <c r="R72" s="6" t="str">
        <f t="shared" si="3"/>
        <v>-</v>
      </c>
      <c r="S72" s="6">
        <f t="shared" si="4"/>
        <v>1</v>
      </c>
    </row>
    <row r="73" spans="1:19" ht="14.1" customHeight="1" thickBot="1" x14ac:dyDescent="0.25">
      <c r="A73" s="4" t="str">
        <f>"1402"</f>
        <v>1402</v>
      </c>
      <c r="B73" s="5">
        <v>41703</v>
      </c>
      <c r="C73" s="5">
        <v>41758</v>
      </c>
      <c r="D73" s="4" t="str">
        <f>"14020"</f>
        <v>14020</v>
      </c>
      <c r="E73" s="5">
        <v>41905</v>
      </c>
      <c r="F73" s="4"/>
      <c r="G73" s="4"/>
      <c r="H73" s="4"/>
      <c r="I73" s="4" t="s">
        <v>140</v>
      </c>
      <c r="J73" s="4" t="s">
        <v>141</v>
      </c>
      <c r="K73" s="4" t="s">
        <v>39</v>
      </c>
      <c r="L73" s="4" t="s">
        <v>80</v>
      </c>
      <c r="M73" s="3" t="str">
        <f>IF(H73 = "","",MONTH(H73))</f>
        <v/>
      </c>
      <c r="N73" s="3" t="str">
        <f>IF(H73 = "","",YEAR(H73))</f>
        <v/>
      </c>
      <c r="O73" s="6">
        <f t="shared" ref="O73:O134" si="6">IF(B73="","-",IF(E73="","-",DAYS360(B73,E73)))</f>
        <v>198</v>
      </c>
      <c r="P73" s="6">
        <f t="shared" ref="P73:P134" si="7">IF(C73="","-",IF(E73="","-",DAYS360(C73,E73)))</f>
        <v>144</v>
      </c>
      <c r="Q73" s="6" t="str">
        <f t="shared" ref="Q73:Q134" si="8">IF(E73="","-",IF(F73="","-",DAYS360(E73,F73)))</f>
        <v>-</v>
      </c>
      <c r="R73" s="6" t="str">
        <f t="shared" ref="R73:R134" si="9">IF(E73="","-",IF(G73="","-",DAYS360(E73,G73)))</f>
        <v>-</v>
      </c>
      <c r="S73" s="6" t="str">
        <f t="shared" ref="S73:S134" si="10">IF(E73="","-",IF(H73="","-",DAYS360(E73,H73)))</f>
        <v>-</v>
      </c>
    </row>
    <row r="74" spans="1:19" ht="14.1" customHeight="1" thickBot="1" x14ac:dyDescent="0.25">
      <c r="A74" s="4" t="str">
        <f>"1401"</f>
        <v>1401</v>
      </c>
      <c r="B74" s="5">
        <v>41675</v>
      </c>
      <c r="C74" s="5">
        <v>41766</v>
      </c>
      <c r="D74" s="4" t="str">
        <f>"14005"</f>
        <v>14005</v>
      </c>
      <c r="E74" s="5">
        <v>41813</v>
      </c>
      <c r="F74" s="5">
        <v>41817</v>
      </c>
      <c r="G74" s="4"/>
      <c r="H74" s="5">
        <v>41932</v>
      </c>
      <c r="I74" s="4" t="s">
        <v>142</v>
      </c>
      <c r="J74" s="4" t="s">
        <v>42</v>
      </c>
      <c r="K74" s="4" t="s">
        <v>39</v>
      </c>
      <c r="L74" s="4" t="s">
        <v>21</v>
      </c>
      <c r="M74" s="3">
        <f>IF(H74 = "","",MONTH(H74))</f>
        <v>10</v>
      </c>
      <c r="N74" s="3">
        <f>IF(H74 = "","",YEAR(H74))</f>
        <v>2014</v>
      </c>
      <c r="O74" s="6">
        <f t="shared" si="6"/>
        <v>138</v>
      </c>
      <c r="P74" s="6">
        <f t="shared" si="7"/>
        <v>46</v>
      </c>
      <c r="Q74" s="6">
        <f t="shared" si="8"/>
        <v>4</v>
      </c>
      <c r="R74" s="6" t="str">
        <f t="shared" si="9"/>
        <v>-</v>
      </c>
      <c r="S74" s="6">
        <f t="shared" si="10"/>
        <v>117</v>
      </c>
    </row>
    <row r="75" spans="1:19" ht="14.1" customHeight="1" thickBot="1" x14ac:dyDescent="0.25">
      <c r="A75" s="4" t="str">
        <f>"1406"</f>
        <v>1406</v>
      </c>
      <c r="B75" s="5">
        <v>41653</v>
      </c>
      <c r="C75" s="5">
        <v>41757</v>
      </c>
      <c r="D75" s="4" t="str">
        <f>"14003"</f>
        <v>14003</v>
      </c>
      <c r="E75" s="5">
        <v>41766</v>
      </c>
      <c r="F75" s="5">
        <v>41772</v>
      </c>
      <c r="G75" s="5">
        <v>41778</v>
      </c>
      <c r="H75" s="5">
        <v>41781</v>
      </c>
      <c r="I75" s="4" t="s">
        <v>143</v>
      </c>
      <c r="J75" s="4" t="s">
        <v>141</v>
      </c>
      <c r="K75" s="4" t="s">
        <v>39</v>
      </c>
      <c r="L75" s="4" t="s">
        <v>21</v>
      </c>
      <c r="M75" s="3">
        <f>IF(H75 = "","",MONTH(H75))</f>
        <v>5</v>
      </c>
      <c r="N75" s="3">
        <f>IF(H75 = "","",YEAR(H75))</f>
        <v>2014</v>
      </c>
      <c r="O75" s="6">
        <f t="shared" si="6"/>
        <v>113</v>
      </c>
      <c r="P75" s="6">
        <f t="shared" si="7"/>
        <v>9</v>
      </c>
      <c r="Q75" s="6">
        <f t="shared" si="8"/>
        <v>6</v>
      </c>
      <c r="R75" s="6">
        <f t="shared" si="9"/>
        <v>12</v>
      </c>
      <c r="S75" s="6">
        <f t="shared" si="10"/>
        <v>15</v>
      </c>
    </row>
    <row r="76" spans="1:19" ht="14.1" customHeight="1" thickBot="1" x14ac:dyDescent="0.25">
      <c r="A76" s="4" t="str">
        <f>"1351"</f>
        <v>1351</v>
      </c>
      <c r="B76" s="5">
        <v>41604</v>
      </c>
      <c r="C76" s="5">
        <v>41977</v>
      </c>
      <c r="D76" s="4" t="str">
        <f>"14031"</f>
        <v>14031</v>
      </c>
      <c r="E76" s="5">
        <v>41978</v>
      </c>
      <c r="F76" s="5">
        <v>42020</v>
      </c>
      <c r="G76" s="5">
        <v>42023</v>
      </c>
      <c r="H76" s="5">
        <v>42278</v>
      </c>
      <c r="I76" s="4" t="s">
        <v>144</v>
      </c>
      <c r="J76" s="4" t="s">
        <v>42</v>
      </c>
      <c r="K76" s="4" t="s">
        <v>39</v>
      </c>
      <c r="L76" s="4" t="s">
        <v>21</v>
      </c>
      <c r="M76" s="3">
        <f>IF(H76 = "","",MONTH(H76))</f>
        <v>10</v>
      </c>
      <c r="N76" s="3">
        <f>IF(H76 = "","",YEAR(H76))</f>
        <v>2015</v>
      </c>
      <c r="O76" s="6">
        <f t="shared" si="6"/>
        <v>369</v>
      </c>
      <c r="P76" s="6">
        <f t="shared" si="7"/>
        <v>1</v>
      </c>
      <c r="Q76" s="6">
        <f t="shared" si="8"/>
        <v>41</v>
      </c>
      <c r="R76" s="6">
        <f t="shared" si="9"/>
        <v>44</v>
      </c>
      <c r="S76" s="6">
        <f t="shared" si="10"/>
        <v>296</v>
      </c>
    </row>
    <row r="77" spans="1:19" ht="14.1" customHeight="1" thickBot="1" x14ac:dyDescent="0.25">
      <c r="A77" s="4" t="str">
        <f>"1347"</f>
        <v>1347</v>
      </c>
      <c r="B77" s="5">
        <v>41590</v>
      </c>
      <c r="C77" s="4"/>
      <c r="D77" s="4" t="str">
        <f>"13024"</f>
        <v>13024</v>
      </c>
      <c r="E77" s="5">
        <v>41596</v>
      </c>
      <c r="F77" s="5">
        <v>41606</v>
      </c>
      <c r="G77" s="4"/>
      <c r="H77" s="5">
        <v>41606</v>
      </c>
      <c r="I77" s="4" t="s">
        <v>147</v>
      </c>
      <c r="J77" s="4" t="s">
        <v>148</v>
      </c>
      <c r="K77" s="4" t="s">
        <v>39</v>
      </c>
      <c r="L77" s="4" t="s">
        <v>21</v>
      </c>
      <c r="M77" s="3">
        <f>IF(H77 = "","",MONTH(H77))</f>
        <v>11</v>
      </c>
      <c r="N77" s="3">
        <f>IF(H77 = "","",YEAR(H77))</f>
        <v>2013</v>
      </c>
      <c r="O77" s="6">
        <f t="shared" si="6"/>
        <v>6</v>
      </c>
      <c r="P77" s="6" t="str">
        <f t="shared" si="7"/>
        <v>-</v>
      </c>
      <c r="Q77" s="6">
        <f t="shared" si="8"/>
        <v>10</v>
      </c>
      <c r="R77" s="6" t="str">
        <f t="shared" si="9"/>
        <v>-</v>
      </c>
      <c r="S77" s="6">
        <f t="shared" si="10"/>
        <v>10</v>
      </c>
    </row>
    <row r="78" spans="1:19" ht="14.1" customHeight="1" thickBot="1" x14ac:dyDescent="0.25">
      <c r="A78" s="4" t="str">
        <f>"1348"</f>
        <v>1348</v>
      </c>
      <c r="B78" s="5">
        <v>41590</v>
      </c>
      <c r="C78" s="4"/>
      <c r="D78" s="4" t="str">
        <f>"13022"</f>
        <v>13022</v>
      </c>
      <c r="E78" s="5">
        <v>41596</v>
      </c>
      <c r="F78" s="5">
        <v>41604</v>
      </c>
      <c r="G78" s="4"/>
      <c r="H78" s="5">
        <v>41604</v>
      </c>
      <c r="I78" s="4" t="s">
        <v>149</v>
      </c>
      <c r="J78" s="4" t="s">
        <v>148</v>
      </c>
      <c r="K78" s="4" t="s">
        <v>39</v>
      </c>
      <c r="L78" s="4" t="s">
        <v>21</v>
      </c>
      <c r="M78" s="3">
        <f>IF(H78 = "","",MONTH(H78))</f>
        <v>11</v>
      </c>
      <c r="N78" s="3">
        <f>IF(H78 = "","",YEAR(H78))</f>
        <v>2013</v>
      </c>
      <c r="O78" s="6">
        <f t="shared" si="6"/>
        <v>6</v>
      </c>
      <c r="P78" s="6" t="str">
        <f t="shared" si="7"/>
        <v>-</v>
      </c>
      <c r="Q78" s="6">
        <f t="shared" si="8"/>
        <v>8</v>
      </c>
      <c r="R78" s="6" t="str">
        <f t="shared" si="9"/>
        <v>-</v>
      </c>
      <c r="S78" s="6">
        <f t="shared" si="10"/>
        <v>8</v>
      </c>
    </row>
    <row r="79" spans="1:19" ht="14.1" customHeight="1" thickBot="1" x14ac:dyDescent="0.25">
      <c r="A79" s="4" t="str">
        <f>"1346"</f>
        <v>1346</v>
      </c>
      <c r="B79" s="5">
        <v>41589</v>
      </c>
      <c r="C79" s="5">
        <v>41598</v>
      </c>
      <c r="D79" s="4" t="str">
        <f>"13026"</f>
        <v>13026</v>
      </c>
      <c r="E79" s="5">
        <v>41599</v>
      </c>
      <c r="F79" s="5">
        <v>41604</v>
      </c>
      <c r="G79" s="5">
        <v>41610</v>
      </c>
      <c r="H79" s="5">
        <v>41655</v>
      </c>
      <c r="I79" s="4" t="s">
        <v>150</v>
      </c>
      <c r="J79" s="4" t="s">
        <v>151</v>
      </c>
      <c r="K79" s="4" t="s">
        <v>39</v>
      </c>
      <c r="L79" s="4" t="s">
        <v>21</v>
      </c>
      <c r="M79" s="3">
        <f>IF(H79 = "","",MONTH(H79))</f>
        <v>1</v>
      </c>
      <c r="N79" s="3">
        <f>IF(H79 = "","",YEAR(H79))</f>
        <v>2014</v>
      </c>
      <c r="O79" s="6">
        <f t="shared" si="6"/>
        <v>10</v>
      </c>
      <c r="P79" s="6">
        <f t="shared" si="7"/>
        <v>1</v>
      </c>
      <c r="Q79" s="6">
        <f t="shared" si="8"/>
        <v>5</v>
      </c>
      <c r="R79" s="6">
        <f t="shared" si="9"/>
        <v>11</v>
      </c>
      <c r="S79" s="6">
        <f t="shared" si="10"/>
        <v>55</v>
      </c>
    </row>
    <row r="80" spans="1:19" ht="14.1" customHeight="1" thickBot="1" x14ac:dyDescent="0.25">
      <c r="A80" s="4" t="str">
        <f>"1345"</f>
        <v>1345</v>
      </c>
      <c r="B80" s="5">
        <v>41583</v>
      </c>
      <c r="C80" s="5">
        <v>41583</v>
      </c>
      <c r="D80" s="4" t="str">
        <f>"13025"</f>
        <v>13025</v>
      </c>
      <c r="E80" s="5">
        <v>41599</v>
      </c>
      <c r="F80" s="5">
        <v>41716</v>
      </c>
      <c r="G80" s="5">
        <v>41795</v>
      </c>
      <c r="H80" s="4"/>
      <c r="I80" s="4" t="s">
        <v>152</v>
      </c>
      <c r="J80" s="4" t="s">
        <v>153</v>
      </c>
      <c r="K80" s="4" t="s">
        <v>39</v>
      </c>
      <c r="L80" s="4" t="s">
        <v>75</v>
      </c>
      <c r="M80" s="3" t="str">
        <f>IF(H80 = "","",MONTH(H80))</f>
        <v/>
      </c>
      <c r="N80" s="3" t="str">
        <f>IF(H80 = "","",YEAR(H80))</f>
        <v/>
      </c>
      <c r="O80" s="6">
        <f t="shared" si="6"/>
        <v>16</v>
      </c>
      <c r="P80" s="6">
        <f t="shared" si="7"/>
        <v>16</v>
      </c>
      <c r="Q80" s="6">
        <f t="shared" si="8"/>
        <v>117</v>
      </c>
      <c r="R80" s="6">
        <f t="shared" si="9"/>
        <v>194</v>
      </c>
      <c r="S80" s="6" t="str">
        <f t="shared" si="10"/>
        <v>-</v>
      </c>
    </row>
    <row r="81" spans="1:19" ht="14.1" customHeight="1" thickBot="1" x14ac:dyDescent="0.25">
      <c r="A81" s="4" t="str">
        <f>"1342"</f>
        <v>1342</v>
      </c>
      <c r="B81" s="5">
        <v>41564</v>
      </c>
      <c r="C81" s="5">
        <v>41570</v>
      </c>
      <c r="D81" s="4" t="str">
        <f>"13020"</f>
        <v>13020</v>
      </c>
      <c r="E81" s="5">
        <v>41570</v>
      </c>
      <c r="F81" s="5">
        <v>41604</v>
      </c>
      <c r="G81" s="4"/>
      <c r="H81" s="5">
        <v>41604</v>
      </c>
      <c r="I81" s="4" t="s">
        <v>154</v>
      </c>
      <c r="J81" s="4" t="s">
        <v>148</v>
      </c>
      <c r="K81" s="4" t="s">
        <v>39</v>
      </c>
      <c r="L81" s="4" t="s">
        <v>21</v>
      </c>
      <c r="M81" s="3">
        <f>IF(H81 = "","",MONTH(H81))</f>
        <v>11</v>
      </c>
      <c r="N81" s="3">
        <f>IF(H81 = "","",YEAR(H81))</f>
        <v>2013</v>
      </c>
      <c r="O81" s="6">
        <f t="shared" si="6"/>
        <v>6</v>
      </c>
      <c r="P81" s="6">
        <f t="shared" si="7"/>
        <v>0</v>
      </c>
      <c r="Q81" s="6">
        <f t="shared" si="8"/>
        <v>33</v>
      </c>
      <c r="R81" s="6" t="str">
        <f t="shared" si="9"/>
        <v>-</v>
      </c>
      <c r="S81" s="6">
        <f t="shared" si="10"/>
        <v>33</v>
      </c>
    </row>
    <row r="82" spans="1:19" ht="14.1" customHeight="1" thickBot="1" x14ac:dyDescent="0.25">
      <c r="A82" s="4" t="str">
        <f>"1336"</f>
        <v>1336</v>
      </c>
      <c r="B82" s="5">
        <v>41541</v>
      </c>
      <c r="C82" s="4"/>
      <c r="D82" s="4" t="str">
        <f>"13018"</f>
        <v>13018</v>
      </c>
      <c r="E82" s="5">
        <v>41537</v>
      </c>
      <c r="F82" s="5">
        <v>41550</v>
      </c>
      <c r="G82" s="4"/>
      <c r="H82" s="5">
        <v>41550</v>
      </c>
      <c r="I82" s="4" t="s">
        <v>155</v>
      </c>
      <c r="J82" s="4" t="s">
        <v>103</v>
      </c>
      <c r="K82" s="4" t="s">
        <v>39</v>
      </c>
      <c r="L82" s="4" t="s">
        <v>21</v>
      </c>
      <c r="M82" s="3">
        <f>IF(H82 = "","",MONTH(H82))</f>
        <v>10</v>
      </c>
      <c r="N82" s="3">
        <f>IF(H82 = "","",YEAR(H82))</f>
        <v>2013</v>
      </c>
      <c r="O82" s="6">
        <f t="shared" si="6"/>
        <v>-4</v>
      </c>
      <c r="P82" s="6" t="str">
        <f t="shared" si="7"/>
        <v>-</v>
      </c>
      <c r="Q82" s="6">
        <f t="shared" si="8"/>
        <v>13</v>
      </c>
      <c r="R82" s="6" t="str">
        <f t="shared" si="9"/>
        <v>-</v>
      </c>
      <c r="S82" s="6">
        <f t="shared" si="10"/>
        <v>13</v>
      </c>
    </row>
    <row r="83" spans="1:19" ht="14.1" customHeight="1" thickBot="1" x14ac:dyDescent="0.25">
      <c r="A83" s="4" t="str">
        <f>"1337"</f>
        <v>1337</v>
      </c>
      <c r="B83" s="5">
        <v>41541</v>
      </c>
      <c r="C83" s="4"/>
      <c r="D83" s="4" t="str">
        <f>"14016"</f>
        <v>14016</v>
      </c>
      <c r="E83" s="5">
        <v>41890</v>
      </c>
      <c r="F83" s="5">
        <v>41939</v>
      </c>
      <c r="G83" s="4"/>
      <c r="H83" s="5">
        <v>42026</v>
      </c>
      <c r="I83" s="4" t="s">
        <v>156</v>
      </c>
      <c r="J83" s="4" t="s">
        <v>157</v>
      </c>
      <c r="K83" s="4" t="s">
        <v>39</v>
      </c>
      <c r="L83" s="4" t="s">
        <v>21</v>
      </c>
      <c r="M83" s="3">
        <f>IF(H83 = "","",MONTH(H83))</f>
        <v>1</v>
      </c>
      <c r="N83" s="3">
        <f>IF(H83 = "","",YEAR(H83))</f>
        <v>2015</v>
      </c>
      <c r="O83" s="6">
        <f t="shared" si="6"/>
        <v>344</v>
      </c>
      <c r="P83" s="6" t="str">
        <f t="shared" si="7"/>
        <v>-</v>
      </c>
      <c r="Q83" s="6">
        <f t="shared" si="8"/>
        <v>49</v>
      </c>
      <c r="R83" s="6" t="str">
        <f t="shared" si="9"/>
        <v>-</v>
      </c>
      <c r="S83" s="6">
        <f t="shared" si="10"/>
        <v>134</v>
      </c>
    </row>
    <row r="84" spans="1:19" ht="14.1" customHeight="1" thickBot="1" x14ac:dyDescent="0.25">
      <c r="A84" s="4" t="str">
        <f>"1335"</f>
        <v>1335</v>
      </c>
      <c r="B84" s="5">
        <v>41536</v>
      </c>
      <c r="C84" s="4"/>
      <c r="D84" s="4" t="str">
        <f>"13017"</f>
        <v>13017</v>
      </c>
      <c r="E84" s="5">
        <v>41536</v>
      </c>
      <c r="F84" s="5">
        <v>41549</v>
      </c>
      <c r="G84" s="4"/>
      <c r="H84" s="5">
        <v>41549</v>
      </c>
      <c r="I84" s="4" t="s">
        <v>158</v>
      </c>
      <c r="J84" s="4" t="s">
        <v>159</v>
      </c>
      <c r="K84" s="4" t="s">
        <v>39</v>
      </c>
      <c r="L84" s="4" t="s">
        <v>21</v>
      </c>
      <c r="M84" s="3">
        <f>IF(H84 = "","",MONTH(H84))</f>
        <v>10</v>
      </c>
      <c r="N84" s="3">
        <f>IF(H84 = "","",YEAR(H84))</f>
        <v>2013</v>
      </c>
      <c r="O84" s="6">
        <f t="shared" si="6"/>
        <v>0</v>
      </c>
      <c r="P84" s="6" t="str">
        <f t="shared" si="7"/>
        <v>-</v>
      </c>
      <c r="Q84" s="6">
        <f t="shared" si="8"/>
        <v>13</v>
      </c>
      <c r="R84" s="6" t="str">
        <f t="shared" si="9"/>
        <v>-</v>
      </c>
      <c r="S84" s="6">
        <f t="shared" si="10"/>
        <v>13</v>
      </c>
    </row>
    <row r="85" spans="1:19" ht="14.1" customHeight="1" thickBot="1" x14ac:dyDescent="0.25">
      <c r="A85" s="4" t="str">
        <f>"1332"</f>
        <v>1332</v>
      </c>
      <c r="B85" s="5">
        <v>41512</v>
      </c>
      <c r="C85" s="4"/>
      <c r="D85" s="4" t="str">
        <f>"13016"</f>
        <v>13016</v>
      </c>
      <c r="E85" s="5">
        <v>41536</v>
      </c>
      <c r="F85" s="5">
        <v>41547</v>
      </c>
      <c r="G85" s="5">
        <v>41547</v>
      </c>
      <c r="H85" s="5">
        <v>41646</v>
      </c>
      <c r="I85" s="4" t="s">
        <v>160</v>
      </c>
      <c r="J85" s="4" t="s">
        <v>29</v>
      </c>
      <c r="K85" s="4" t="s">
        <v>39</v>
      </c>
      <c r="L85" s="4" t="s">
        <v>86</v>
      </c>
      <c r="M85" s="3">
        <f>IF(H85 = "","",MONTH(H85))</f>
        <v>1</v>
      </c>
      <c r="N85" s="3">
        <f>IF(H85 = "","",YEAR(H85))</f>
        <v>2014</v>
      </c>
      <c r="O85" s="6">
        <f t="shared" si="6"/>
        <v>23</v>
      </c>
      <c r="P85" s="6" t="str">
        <f t="shared" si="7"/>
        <v>-</v>
      </c>
      <c r="Q85" s="6">
        <f t="shared" si="8"/>
        <v>11</v>
      </c>
      <c r="R85" s="6">
        <f t="shared" si="9"/>
        <v>11</v>
      </c>
      <c r="S85" s="6">
        <f t="shared" si="10"/>
        <v>108</v>
      </c>
    </row>
    <row r="86" spans="1:19" ht="14.1" customHeight="1" thickBot="1" x14ac:dyDescent="0.25">
      <c r="A86" s="4" t="str">
        <f>"1330"</f>
        <v>1330</v>
      </c>
      <c r="B86" s="5">
        <v>41477</v>
      </c>
      <c r="C86" s="4"/>
      <c r="D86" s="4" t="str">
        <f>"13014"</f>
        <v>13014</v>
      </c>
      <c r="E86" s="5">
        <v>41477</v>
      </c>
      <c r="F86" s="5">
        <v>41479</v>
      </c>
      <c r="G86" s="5">
        <v>41479</v>
      </c>
      <c r="H86" s="5">
        <v>41795</v>
      </c>
      <c r="I86" s="4" t="s">
        <v>161</v>
      </c>
      <c r="J86" s="4" t="s">
        <v>29</v>
      </c>
      <c r="K86" s="4" t="s">
        <v>39</v>
      </c>
      <c r="L86" s="4" t="s">
        <v>162</v>
      </c>
      <c r="M86" s="3">
        <f>IF(H86 = "","",MONTH(H86))</f>
        <v>6</v>
      </c>
      <c r="N86" s="3">
        <f>IF(H86 = "","",YEAR(H86))</f>
        <v>2014</v>
      </c>
      <c r="O86" s="6">
        <f t="shared" si="6"/>
        <v>0</v>
      </c>
      <c r="P86" s="6" t="str">
        <f t="shared" si="7"/>
        <v>-</v>
      </c>
      <c r="Q86" s="6">
        <f t="shared" si="8"/>
        <v>2</v>
      </c>
      <c r="R86" s="6">
        <f t="shared" si="9"/>
        <v>2</v>
      </c>
      <c r="S86" s="6">
        <f t="shared" si="10"/>
        <v>313</v>
      </c>
    </row>
    <row r="87" spans="1:19" ht="14.1" customHeight="1" thickBot="1" x14ac:dyDescent="0.25">
      <c r="A87" s="4" t="str">
        <f>"1324"</f>
        <v>1324</v>
      </c>
      <c r="B87" s="5">
        <v>41472</v>
      </c>
      <c r="C87" s="5">
        <v>41472</v>
      </c>
      <c r="D87" s="4" t="str">
        <f>"13015"</f>
        <v>13015</v>
      </c>
      <c r="E87" s="5">
        <v>41527</v>
      </c>
      <c r="F87" s="5">
        <v>41540</v>
      </c>
      <c r="G87" s="4"/>
      <c r="H87" s="5">
        <v>41540</v>
      </c>
      <c r="I87" s="4" t="s">
        <v>163</v>
      </c>
      <c r="J87" s="4" t="s">
        <v>66</v>
      </c>
      <c r="K87" s="4" t="s">
        <v>90</v>
      </c>
      <c r="L87" s="4" t="s">
        <v>21</v>
      </c>
      <c r="M87" s="3">
        <f>IF(H87 = "","",MONTH(H87))</f>
        <v>9</v>
      </c>
      <c r="N87" s="3">
        <f>IF(H87 = "","",YEAR(H87))</f>
        <v>2013</v>
      </c>
      <c r="O87" s="6">
        <f t="shared" si="6"/>
        <v>53</v>
      </c>
      <c r="P87" s="6">
        <f t="shared" si="7"/>
        <v>53</v>
      </c>
      <c r="Q87" s="6">
        <f t="shared" si="8"/>
        <v>13</v>
      </c>
      <c r="R87" s="6" t="str">
        <f t="shared" si="9"/>
        <v>-</v>
      </c>
      <c r="S87" s="6">
        <f t="shared" si="10"/>
        <v>13</v>
      </c>
    </row>
    <row r="88" spans="1:19" ht="14.1" customHeight="1" thickBot="1" x14ac:dyDescent="0.25">
      <c r="A88" s="4" t="str">
        <f>"1328"</f>
        <v>1328</v>
      </c>
      <c r="B88" s="5">
        <v>41470</v>
      </c>
      <c r="C88" s="5">
        <v>41582</v>
      </c>
      <c r="D88" s="4" t="str">
        <f>"13021"</f>
        <v>13021</v>
      </c>
      <c r="E88" s="5">
        <v>41589</v>
      </c>
      <c r="F88" s="5">
        <v>41604</v>
      </c>
      <c r="G88" s="5">
        <v>41646</v>
      </c>
      <c r="H88" s="4"/>
      <c r="I88" s="4" t="s">
        <v>164</v>
      </c>
      <c r="J88" s="4" t="s">
        <v>165</v>
      </c>
      <c r="K88" s="4" t="s">
        <v>118</v>
      </c>
      <c r="L88" s="4" t="s">
        <v>86</v>
      </c>
      <c r="M88" s="3" t="str">
        <f>IF(H88 = "","",MONTH(H88))</f>
        <v/>
      </c>
      <c r="N88" s="3" t="str">
        <f>IF(H88 = "","",YEAR(H88))</f>
        <v/>
      </c>
      <c r="O88" s="6">
        <f t="shared" si="6"/>
        <v>116</v>
      </c>
      <c r="P88" s="6">
        <f t="shared" si="7"/>
        <v>7</v>
      </c>
      <c r="Q88" s="6">
        <f t="shared" si="8"/>
        <v>15</v>
      </c>
      <c r="R88" s="6">
        <f t="shared" si="9"/>
        <v>56</v>
      </c>
      <c r="S88" s="6" t="str">
        <f t="shared" si="10"/>
        <v>-</v>
      </c>
    </row>
    <row r="89" spans="1:19" ht="14.1" customHeight="1" thickBot="1" x14ac:dyDescent="0.25">
      <c r="A89" s="4" t="str">
        <f>"1327"</f>
        <v>1327</v>
      </c>
      <c r="B89" s="5">
        <v>41466</v>
      </c>
      <c r="C89" s="5">
        <v>41603</v>
      </c>
      <c r="D89" s="4" t="str">
        <f>"13027"</f>
        <v>13027</v>
      </c>
      <c r="E89" s="5">
        <v>41604</v>
      </c>
      <c r="F89" s="5">
        <v>41722</v>
      </c>
      <c r="G89" s="4"/>
      <c r="H89" s="4"/>
      <c r="I89" s="4" t="s">
        <v>166</v>
      </c>
      <c r="J89" s="4" t="s">
        <v>167</v>
      </c>
      <c r="K89" s="4" t="s">
        <v>90</v>
      </c>
      <c r="L89" s="4" t="s">
        <v>75</v>
      </c>
      <c r="M89" s="3" t="str">
        <f>IF(H89 = "","",MONTH(H89))</f>
        <v/>
      </c>
      <c r="N89" s="3" t="str">
        <f>IF(H89 = "","",YEAR(H89))</f>
        <v/>
      </c>
      <c r="O89" s="6">
        <f t="shared" si="6"/>
        <v>135</v>
      </c>
      <c r="P89" s="6">
        <f t="shared" si="7"/>
        <v>1</v>
      </c>
      <c r="Q89" s="6">
        <f t="shared" si="8"/>
        <v>118</v>
      </c>
      <c r="R89" s="6" t="str">
        <f t="shared" si="9"/>
        <v>-</v>
      </c>
      <c r="S89" s="6" t="str">
        <f t="shared" si="10"/>
        <v>-</v>
      </c>
    </row>
    <row r="90" spans="1:19" ht="14.1" customHeight="1" thickBot="1" x14ac:dyDescent="0.25">
      <c r="A90" s="4" t="str">
        <f>"1323"</f>
        <v>1323</v>
      </c>
      <c r="B90" s="5">
        <v>41451</v>
      </c>
      <c r="C90" s="4"/>
      <c r="D90" s="4" t="str">
        <f>"14001"</f>
        <v>14001</v>
      </c>
      <c r="E90" s="5">
        <v>41661</v>
      </c>
      <c r="F90" s="5">
        <v>41845</v>
      </c>
      <c r="G90" s="4"/>
      <c r="H90" s="5">
        <v>41845</v>
      </c>
      <c r="I90" s="4" t="s">
        <v>168</v>
      </c>
      <c r="J90" s="4" t="s">
        <v>38</v>
      </c>
      <c r="K90" s="4" t="s">
        <v>39</v>
      </c>
      <c r="L90" s="4" t="s">
        <v>21</v>
      </c>
      <c r="M90" s="3">
        <f>IF(H90 = "","",MONTH(H90))</f>
        <v>7</v>
      </c>
      <c r="N90" s="3">
        <f>IF(H90 = "","",YEAR(H90))</f>
        <v>2014</v>
      </c>
      <c r="O90" s="6">
        <f t="shared" si="6"/>
        <v>206</v>
      </c>
      <c r="P90" s="6" t="str">
        <f t="shared" si="7"/>
        <v>-</v>
      </c>
      <c r="Q90" s="6">
        <f t="shared" si="8"/>
        <v>183</v>
      </c>
      <c r="R90" s="6" t="str">
        <f t="shared" si="9"/>
        <v>-</v>
      </c>
      <c r="S90" s="6">
        <f t="shared" si="10"/>
        <v>183</v>
      </c>
    </row>
    <row r="91" spans="1:19" ht="14.1" customHeight="1" thickBot="1" x14ac:dyDescent="0.25">
      <c r="A91" s="4" t="str">
        <f>"1322"</f>
        <v>1322</v>
      </c>
      <c r="B91" s="5">
        <v>41451</v>
      </c>
      <c r="C91" s="5">
        <v>41451</v>
      </c>
      <c r="D91" s="4" t="str">
        <f>"13013"</f>
        <v>13013</v>
      </c>
      <c r="E91" s="5">
        <v>41451</v>
      </c>
      <c r="F91" s="5">
        <v>41453</v>
      </c>
      <c r="G91" s="4"/>
      <c r="H91" s="5">
        <v>41453</v>
      </c>
      <c r="I91" s="4" t="s">
        <v>169</v>
      </c>
      <c r="J91" s="4" t="s">
        <v>103</v>
      </c>
      <c r="K91" s="4" t="s">
        <v>39</v>
      </c>
      <c r="L91" s="4" t="s">
        <v>21</v>
      </c>
      <c r="M91" s="3">
        <f>IF(H91 = "","",MONTH(H91))</f>
        <v>6</v>
      </c>
      <c r="N91" s="3">
        <f>IF(H91 = "","",YEAR(H91))</f>
        <v>2013</v>
      </c>
      <c r="O91" s="6">
        <f t="shared" si="6"/>
        <v>0</v>
      </c>
      <c r="P91" s="6">
        <f t="shared" si="7"/>
        <v>0</v>
      </c>
      <c r="Q91" s="6">
        <f t="shared" si="8"/>
        <v>2</v>
      </c>
      <c r="R91" s="6" t="str">
        <f t="shared" si="9"/>
        <v>-</v>
      </c>
      <c r="S91" s="6">
        <f t="shared" si="10"/>
        <v>2</v>
      </c>
    </row>
    <row r="92" spans="1:19" ht="14.1" customHeight="1" thickBot="1" x14ac:dyDescent="0.25">
      <c r="A92" s="4" t="str">
        <f>"1320"</f>
        <v>1320</v>
      </c>
      <c r="B92" s="5">
        <v>41428</v>
      </c>
      <c r="C92" s="4"/>
      <c r="D92" s="4" t="str">
        <f>"13011"</f>
        <v>13011</v>
      </c>
      <c r="E92" s="5">
        <v>41430</v>
      </c>
      <c r="F92" s="5">
        <v>41430</v>
      </c>
      <c r="G92" s="4"/>
      <c r="H92" s="5">
        <v>41430</v>
      </c>
      <c r="I92" s="4" t="s">
        <v>170</v>
      </c>
      <c r="J92" s="4" t="s">
        <v>103</v>
      </c>
      <c r="K92" s="4" t="s">
        <v>118</v>
      </c>
      <c r="L92" s="4" t="s">
        <v>21</v>
      </c>
      <c r="M92" s="3">
        <f>IF(H92 = "","",MONTH(H92))</f>
        <v>6</v>
      </c>
      <c r="N92" s="3">
        <f>IF(H92 = "","",YEAR(H92))</f>
        <v>2013</v>
      </c>
      <c r="O92" s="6">
        <f t="shared" si="6"/>
        <v>2</v>
      </c>
      <c r="P92" s="6" t="str">
        <f t="shared" si="7"/>
        <v>-</v>
      </c>
      <c r="Q92" s="6">
        <f t="shared" si="8"/>
        <v>0</v>
      </c>
      <c r="R92" s="6" t="str">
        <f t="shared" si="9"/>
        <v>-</v>
      </c>
      <c r="S92" s="6">
        <f t="shared" si="10"/>
        <v>0</v>
      </c>
    </row>
    <row r="93" spans="1:19" ht="14.1" customHeight="1" thickBot="1" x14ac:dyDescent="0.25">
      <c r="A93" s="4" t="str">
        <f>"1317"</f>
        <v>1317</v>
      </c>
      <c r="B93" s="5">
        <v>41411</v>
      </c>
      <c r="C93" s="5">
        <v>41436</v>
      </c>
      <c r="D93" s="4" t="str">
        <f>"13012"</f>
        <v>13012</v>
      </c>
      <c r="E93" s="5">
        <v>41437</v>
      </c>
      <c r="F93" s="5">
        <v>41492</v>
      </c>
      <c r="G93" s="4"/>
      <c r="H93" s="5">
        <v>41492</v>
      </c>
      <c r="I93" s="4" t="s">
        <v>171</v>
      </c>
      <c r="J93" s="4" t="s">
        <v>148</v>
      </c>
      <c r="K93" s="4"/>
      <c r="L93" s="4" t="s">
        <v>21</v>
      </c>
      <c r="M93" s="3">
        <f>IF(H93 = "","",MONTH(H93))</f>
        <v>8</v>
      </c>
      <c r="N93" s="3">
        <f>IF(H93 = "","",YEAR(H93))</f>
        <v>2013</v>
      </c>
      <c r="O93" s="6">
        <f t="shared" si="6"/>
        <v>25</v>
      </c>
      <c r="P93" s="6">
        <f t="shared" si="7"/>
        <v>1</v>
      </c>
      <c r="Q93" s="6">
        <f t="shared" si="8"/>
        <v>54</v>
      </c>
      <c r="R93" s="6" t="str">
        <f t="shared" si="9"/>
        <v>-</v>
      </c>
      <c r="S93" s="6">
        <f t="shared" si="10"/>
        <v>54</v>
      </c>
    </row>
    <row r="94" spans="1:19" ht="14.1" customHeight="1" thickBot="1" x14ac:dyDescent="0.25">
      <c r="A94" s="4" t="str">
        <f>"1315"</f>
        <v>1315</v>
      </c>
      <c r="B94" s="5">
        <v>41400</v>
      </c>
      <c r="C94" s="5">
        <v>41409</v>
      </c>
      <c r="D94" s="4" t="str">
        <f>"13009"</f>
        <v>13009</v>
      </c>
      <c r="E94" s="5">
        <v>41409</v>
      </c>
      <c r="F94" s="4"/>
      <c r="G94" s="5">
        <v>41778</v>
      </c>
      <c r="H94" s="5">
        <v>41795</v>
      </c>
      <c r="I94" s="4" t="s">
        <v>172</v>
      </c>
      <c r="J94" s="4" t="s">
        <v>111</v>
      </c>
      <c r="K94" s="4" t="s">
        <v>118</v>
      </c>
      <c r="L94" s="4" t="s">
        <v>162</v>
      </c>
      <c r="M94" s="3">
        <f>IF(H94 = "","",MONTH(H94))</f>
        <v>6</v>
      </c>
      <c r="N94" s="3">
        <f>IF(H94 = "","",YEAR(H94))</f>
        <v>2014</v>
      </c>
      <c r="O94" s="6">
        <f t="shared" si="6"/>
        <v>9</v>
      </c>
      <c r="P94" s="6">
        <f t="shared" si="7"/>
        <v>0</v>
      </c>
      <c r="Q94" s="6" t="str">
        <f t="shared" si="8"/>
        <v>-</v>
      </c>
      <c r="R94" s="6">
        <f t="shared" si="9"/>
        <v>364</v>
      </c>
      <c r="S94" s="6">
        <f t="shared" si="10"/>
        <v>380</v>
      </c>
    </row>
    <row r="95" spans="1:19" ht="14.1" customHeight="1" thickBot="1" x14ac:dyDescent="0.25">
      <c r="A95" s="4" t="str">
        <f>"1316"</f>
        <v>1316</v>
      </c>
      <c r="B95" s="5">
        <v>41386</v>
      </c>
      <c r="C95" s="5">
        <v>41410</v>
      </c>
      <c r="D95" s="4" t="str">
        <f>"13010"</f>
        <v>13010</v>
      </c>
      <c r="E95" s="5">
        <v>41411</v>
      </c>
      <c r="F95" s="5">
        <v>41438</v>
      </c>
      <c r="G95" s="4"/>
      <c r="H95" s="5">
        <v>41438</v>
      </c>
      <c r="I95" s="4" t="s">
        <v>173</v>
      </c>
      <c r="J95" s="4" t="s">
        <v>174</v>
      </c>
      <c r="K95" s="4"/>
      <c r="L95" s="4" t="s">
        <v>21</v>
      </c>
      <c r="M95" s="3">
        <f>IF(H95 = "","",MONTH(H95))</f>
        <v>6</v>
      </c>
      <c r="N95" s="3">
        <f>IF(H95 = "","",YEAR(H95))</f>
        <v>2013</v>
      </c>
      <c r="O95" s="6">
        <f t="shared" si="6"/>
        <v>25</v>
      </c>
      <c r="P95" s="6">
        <f t="shared" si="7"/>
        <v>1</v>
      </c>
      <c r="Q95" s="6">
        <f t="shared" si="8"/>
        <v>26</v>
      </c>
      <c r="R95" s="6" t="str">
        <f t="shared" si="9"/>
        <v>-</v>
      </c>
      <c r="S95" s="6">
        <f t="shared" si="10"/>
        <v>26</v>
      </c>
    </row>
    <row r="96" spans="1:19" ht="14.1" customHeight="1" thickBot="1" x14ac:dyDescent="0.25">
      <c r="A96" s="4" t="str">
        <f>"1314"</f>
        <v>1314</v>
      </c>
      <c r="B96" s="5">
        <v>41366</v>
      </c>
      <c r="C96" s="5">
        <v>41366</v>
      </c>
      <c r="D96" s="4" t="str">
        <f>"13019"</f>
        <v>13019</v>
      </c>
      <c r="E96" s="5">
        <v>41551</v>
      </c>
      <c r="F96" s="5">
        <v>41592</v>
      </c>
      <c r="G96" s="5">
        <v>41730</v>
      </c>
      <c r="H96" s="5">
        <v>41806</v>
      </c>
      <c r="I96" s="4" t="s">
        <v>175</v>
      </c>
      <c r="J96" s="4" t="s">
        <v>176</v>
      </c>
      <c r="K96" s="4" t="s">
        <v>39</v>
      </c>
      <c r="L96" s="4" t="s">
        <v>162</v>
      </c>
      <c r="M96" s="3">
        <f>IF(H96 = "","",MONTH(H96))</f>
        <v>6</v>
      </c>
      <c r="N96" s="3">
        <f>IF(H96 = "","",YEAR(H96))</f>
        <v>2014</v>
      </c>
      <c r="O96" s="6">
        <f t="shared" si="6"/>
        <v>182</v>
      </c>
      <c r="P96" s="6">
        <f t="shared" si="7"/>
        <v>182</v>
      </c>
      <c r="Q96" s="6">
        <f t="shared" si="8"/>
        <v>40</v>
      </c>
      <c r="R96" s="6">
        <f t="shared" si="9"/>
        <v>177</v>
      </c>
      <c r="S96" s="6">
        <f t="shared" si="10"/>
        <v>252</v>
      </c>
    </row>
    <row r="97" spans="1:19" ht="14.1" customHeight="1" thickBot="1" x14ac:dyDescent="0.25">
      <c r="A97" s="4" t="str">
        <f>"1313"</f>
        <v>1313</v>
      </c>
      <c r="B97" s="5">
        <v>41359</v>
      </c>
      <c r="C97" s="5">
        <v>41368</v>
      </c>
      <c r="D97" s="4" t="str">
        <f>"13008"</f>
        <v>13008</v>
      </c>
      <c r="E97" s="5">
        <v>41369</v>
      </c>
      <c r="F97" s="4"/>
      <c r="G97" s="5">
        <v>41694</v>
      </c>
      <c r="H97" s="5">
        <v>41703</v>
      </c>
      <c r="I97" s="4" t="s">
        <v>177</v>
      </c>
      <c r="J97" s="4" t="s">
        <v>178</v>
      </c>
      <c r="K97" s="4"/>
      <c r="L97" s="4" t="s">
        <v>21</v>
      </c>
      <c r="M97" s="3">
        <f>IF(H97 = "","",MONTH(H97))</f>
        <v>3</v>
      </c>
      <c r="N97" s="3">
        <f>IF(H97 = "","",YEAR(H97))</f>
        <v>2014</v>
      </c>
      <c r="O97" s="6">
        <f t="shared" si="6"/>
        <v>9</v>
      </c>
      <c r="P97" s="6">
        <f t="shared" si="7"/>
        <v>1</v>
      </c>
      <c r="Q97" s="6" t="str">
        <f t="shared" si="8"/>
        <v>-</v>
      </c>
      <c r="R97" s="6">
        <f t="shared" si="9"/>
        <v>319</v>
      </c>
      <c r="S97" s="6">
        <f t="shared" si="10"/>
        <v>330</v>
      </c>
    </row>
    <row r="98" spans="1:19" ht="14.1" customHeight="1" thickBot="1" x14ac:dyDescent="0.25">
      <c r="A98" s="4" t="str">
        <f>"1310"</f>
        <v>1310</v>
      </c>
      <c r="B98" s="5">
        <v>41353</v>
      </c>
      <c r="C98" s="4"/>
      <c r="D98" s="4" t="str">
        <f>"13007"</f>
        <v>13007</v>
      </c>
      <c r="E98" s="5">
        <v>41353</v>
      </c>
      <c r="F98" s="5">
        <v>41353</v>
      </c>
      <c r="G98" s="5">
        <v>41353</v>
      </c>
      <c r="H98" s="5">
        <v>41354</v>
      </c>
      <c r="I98" s="4" t="s">
        <v>179</v>
      </c>
      <c r="J98" s="4" t="s">
        <v>180</v>
      </c>
      <c r="K98" s="4" t="s">
        <v>39</v>
      </c>
      <c r="L98" s="4" t="s">
        <v>21</v>
      </c>
      <c r="M98" s="3">
        <f>IF(H98 = "","",MONTH(H98))</f>
        <v>3</v>
      </c>
      <c r="N98" s="3">
        <f>IF(H98 = "","",YEAR(H98))</f>
        <v>2013</v>
      </c>
      <c r="O98" s="6">
        <f t="shared" si="6"/>
        <v>0</v>
      </c>
      <c r="P98" s="6" t="str">
        <f t="shared" si="7"/>
        <v>-</v>
      </c>
      <c r="Q98" s="6">
        <f t="shared" si="8"/>
        <v>0</v>
      </c>
      <c r="R98" s="6">
        <f t="shared" si="9"/>
        <v>0</v>
      </c>
      <c r="S98" s="6">
        <f t="shared" si="10"/>
        <v>1</v>
      </c>
    </row>
    <row r="99" spans="1:19" ht="14.1" customHeight="1" thickBot="1" x14ac:dyDescent="0.25">
      <c r="A99" s="4" t="str">
        <f>"1303"</f>
        <v>1303</v>
      </c>
      <c r="B99" s="5">
        <v>41291</v>
      </c>
      <c r="C99" s="5">
        <v>41295</v>
      </c>
      <c r="D99" s="4" t="str">
        <f>"13003"</f>
        <v>13003</v>
      </c>
      <c r="E99" s="5">
        <v>41297</v>
      </c>
      <c r="F99" s="5">
        <v>41367</v>
      </c>
      <c r="G99" s="4"/>
      <c r="H99" s="5">
        <v>41732</v>
      </c>
      <c r="I99" s="4" t="s">
        <v>181</v>
      </c>
      <c r="J99" s="4" t="s">
        <v>148</v>
      </c>
      <c r="K99" s="4" t="s">
        <v>39</v>
      </c>
      <c r="L99" s="4" t="s">
        <v>21</v>
      </c>
      <c r="M99" s="3">
        <f>IF(H99 = "","",MONTH(H99))</f>
        <v>4</v>
      </c>
      <c r="N99" s="3">
        <f>IF(H99 = "","",YEAR(H99))</f>
        <v>2014</v>
      </c>
      <c r="O99" s="6">
        <f t="shared" si="6"/>
        <v>6</v>
      </c>
      <c r="P99" s="6">
        <f t="shared" si="7"/>
        <v>2</v>
      </c>
      <c r="Q99" s="6">
        <f t="shared" si="8"/>
        <v>70</v>
      </c>
      <c r="R99" s="6" t="str">
        <f t="shared" si="9"/>
        <v>-</v>
      </c>
      <c r="S99" s="6">
        <f t="shared" si="10"/>
        <v>430</v>
      </c>
    </row>
    <row r="100" spans="1:19" ht="14.1" customHeight="1" thickBot="1" x14ac:dyDescent="0.25">
      <c r="A100" s="4" t="str">
        <f>"1302"</f>
        <v>1302</v>
      </c>
      <c r="B100" s="5">
        <v>41283</v>
      </c>
      <c r="C100" s="5">
        <v>41311</v>
      </c>
      <c r="D100" s="4" t="str">
        <f>"13004"</f>
        <v>13004</v>
      </c>
      <c r="E100" s="5">
        <v>41333</v>
      </c>
      <c r="F100" s="5">
        <v>41346</v>
      </c>
      <c r="G100" s="4"/>
      <c r="H100" s="4"/>
      <c r="I100" s="4" t="s">
        <v>182</v>
      </c>
      <c r="J100" s="4" t="s">
        <v>183</v>
      </c>
      <c r="K100" s="4" t="s">
        <v>39</v>
      </c>
      <c r="L100" s="4" t="s">
        <v>127</v>
      </c>
      <c r="M100" s="3" t="str">
        <f>IF(H100 = "","",MONTH(H100))</f>
        <v/>
      </c>
      <c r="N100" s="3" t="str">
        <f>IF(H100 = "","",YEAR(H100))</f>
        <v/>
      </c>
      <c r="O100" s="6">
        <f t="shared" si="6"/>
        <v>49</v>
      </c>
      <c r="P100" s="6">
        <f t="shared" si="7"/>
        <v>22</v>
      </c>
      <c r="Q100" s="6">
        <f t="shared" si="8"/>
        <v>13</v>
      </c>
      <c r="R100" s="6" t="str">
        <f t="shared" si="9"/>
        <v>-</v>
      </c>
      <c r="S100" s="6" t="str">
        <f t="shared" si="10"/>
        <v>-</v>
      </c>
    </row>
    <row r="101" spans="1:19" ht="14.1" customHeight="1" thickBot="1" x14ac:dyDescent="0.25">
      <c r="A101" s="4" t="str">
        <f>"1233"</f>
        <v>1233</v>
      </c>
      <c r="B101" s="5">
        <v>41240</v>
      </c>
      <c r="C101" s="4"/>
      <c r="D101" s="4" t="str">
        <f>"12021"</f>
        <v>12021</v>
      </c>
      <c r="E101" s="5">
        <v>41240</v>
      </c>
      <c r="F101" s="5">
        <v>41254</v>
      </c>
      <c r="G101" s="5">
        <v>41253</v>
      </c>
      <c r="H101" s="5">
        <v>41348</v>
      </c>
      <c r="I101" s="4" t="s">
        <v>184</v>
      </c>
      <c r="J101" s="4" t="s">
        <v>29</v>
      </c>
      <c r="K101" s="4" t="s">
        <v>39</v>
      </c>
      <c r="L101" s="4" t="s">
        <v>21</v>
      </c>
      <c r="M101" s="3">
        <f>IF(H101 = "","",MONTH(H101))</f>
        <v>3</v>
      </c>
      <c r="N101" s="3">
        <f>IF(H101 = "","",YEAR(H101))</f>
        <v>2013</v>
      </c>
      <c r="O101" s="6">
        <f t="shared" si="6"/>
        <v>0</v>
      </c>
      <c r="P101" s="6" t="str">
        <f t="shared" si="7"/>
        <v>-</v>
      </c>
      <c r="Q101" s="6">
        <f t="shared" si="8"/>
        <v>14</v>
      </c>
      <c r="R101" s="6">
        <f t="shared" si="9"/>
        <v>13</v>
      </c>
      <c r="S101" s="6">
        <f t="shared" si="10"/>
        <v>108</v>
      </c>
    </row>
    <row r="102" spans="1:19" ht="14.1" customHeight="1" thickBot="1" x14ac:dyDescent="0.25">
      <c r="A102" s="4" t="str">
        <f>"1232"</f>
        <v>1232</v>
      </c>
      <c r="B102" s="5">
        <v>41235</v>
      </c>
      <c r="C102" s="4"/>
      <c r="D102" s="4" t="str">
        <f>"12020"</f>
        <v>12020</v>
      </c>
      <c r="E102" s="5">
        <v>41235</v>
      </c>
      <c r="F102" s="4"/>
      <c r="G102" s="4"/>
      <c r="H102" s="4"/>
      <c r="I102" s="4" t="s">
        <v>185</v>
      </c>
      <c r="J102" s="4" t="s">
        <v>186</v>
      </c>
      <c r="K102" s="4" t="s">
        <v>39</v>
      </c>
      <c r="L102" s="4" t="s">
        <v>50</v>
      </c>
      <c r="M102" s="3" t="str">
        <f>IF(H102 = "","",MONTH(H102))</f>
        <v/>
      </c>
      <c r="N102" s="3" t="str">
        <f>IF(H102 = "","",YEAR(H102))</f>
        <v/>
      </c>
      <c r="O102" s="6">
        <f t="shared" si="6"/>
        <v>0</v>
      </c>
      <c r="P102" s="6" t="str">
        <f t="shared" si="7"/>
        <v>-</v>
      </c>
      <c r="Q102" s="6" t="str">
        <f t="shared" si="8"/>
        <v>-</v>
      </c>
      <c r="R102" s="6" t="str">
        <f t="shared" si="9"/>
        <v>-</v>
      </c>
      <c r="S102" s="6" t="str">
        <f t="shared" si="10"/>
        <v>-</v>
      </c>
    </row>
    <row r="103" spans="1:19" ht="14.1" customHeight="1" thickBot="1" x14ac:dyDescent="0.25">
      <c r="A103" s="4" t="str">
        <f>"1231"</f>
        <v>1231</v>
      </c>
      <c r="B103" s="5">
        <v>41222</v>
      </c>
      <c r="C103" s="5">
        <v>41229</v>
      </c>
      <c r="D103" s="4" t="str">
        <f>"13002"</f>
        <v>13002</v>
      </c>
      <c r="E103" s="5">
        <v>41291</v>
      </c>
      <c r="F103" s="5">
        <v>41313</v>
      </c>
      <c r="G103" s="5">
        <v>41317</v>
      </c>
      <c r="H103" s="5">
        <v>41340</v>
      </c>
      <c r="I103" s="4" t="s">
        <v>187</v>
      </c>
      <c r="J103" s="4" t="s">
        <v>188</v>
      </c>
      <c r="K103" s="4" t="s">
        <v>39</v>
      </c>
      <c r="L103" s="4" t="s">
        <v>21</v>
      </c>
      <c r="M103" s="3">
        <f>IF(H103 = "","",MONTH(H103))</f>
        <v>3</v>
      </c>
      <c r="N103" s="3">
        <f>IF(H103 = "","",YEAR(H103))</f>
        <v>2013</v>
      </c>
      <c r="O103" s="6">
        <f t="shared" si="6"/>
        <v>68</v>
      </c>
      <c r="P103" s="6">
        <f t="shared" si="7"/>
        <v>61</v>
      </c>
      <c r="Q103" s="6">
        <f t="shared" si="8"/>
        <v>21</v>
      </c>
      <c r="R103" s="6">
        <f t="shared" si="9"/>
        <v>25</v>
      </c>
      <c r="S103" s="6">
        <f t="shared" si="10"/>
        <v>50</v>
      </c>
    </row>
    <row r="104" spans="1:19" ht="14.1" customHeight="1" thickBot="1" x14ac:dyDescent="0.25">
      <c r="A104" s="4" t="str">
        <f>"1230"</f>
        <v>1230</v>
      </c>
      <c r="B104" s="5">
        <v>41208</v>
      </c>
      <c r="C104" s="4"/>
      <c r="D104" s="4" t="str">
        <f>"13006"</f>
        <v>13006</v>
      </c>
      <c r="E104" s="5">
        <v>41346</v>
      </c>
      <c r="F104" s="5">
        <v>41604</v>
      </c>
      <c r="G104" s="5">
        <v>41806</v>
      </c>
      <c r="H104" s="5">
        <v>41919</v>
      </c>
      <c r="I104" s="4" t="s">
        <v>189</v>
      </c>
      <c r="J104" s="4" t="s">
        <v>133</v>
      </c>
      <c r="K104" s="4" t="s">
        <v>118</v>
      </c>
      <c r="L104" s="4" t="s">
        <v>162</v>
      </c>
      <c r="M104" s="3">
        <f>IF(H104 = "","",MONTH(H104))</f>
        <v>10</v>
      </c>
      <c r="N104" s="3">
        <f>IF(H104 = "","",YEAR(H104))</f>
        <v>2014</v>
      </c>
      <c r="O104" s="6">
        <f t="shared" si="6"/>
        <v>137</v>
      </c>
      <c r="P104" s="6" t="str">
        <f t="shared" si="7"/>
        <v>-</v>
      </c>
      <c r="Q104" s="6">
        <f t="shared" si="8"/>
        <v>253</v>
      </c>
      <c r="R104" s="6">
        <f t="shared" si="9"/>
        <v>453</v>
      </c>
      <c r="S104" s="6">
        <f t="shared" si="10"/>
        <v>564</v>
      </c>
    </row>
    <row r="105" spans="1:19" ht="14.1" customHeight="1" thickBot="1" x14ac:dyDescent="0.25">
      <c r="A105" s="4" t="str">
        <f>"1229"</f>
        <v>1229</v>
      </c>
      <c r="B105" s="5">
        <v>41205</v>
      </c>
      <c r="C105" s="4"/>
      <c r="D105" s="4" t="str">
        <f>"12019"</f>
        <v>12019</v>
      </c>
      <c r="E105" s="5">
        <v>41206</v>
      </c>
      <c r="F105" s="5">
        <v>41206</v>
      </c>
      <c r="G105" s="5">
        <v>41206</v>
      </c>
      <c r="H105" s="5">
        <v>41206</v>
      </c>
      <c r="I105" s="4" t="s">
        <v>190</v>
      </c>
      <c r="J105" s="4" t="s">
        <v>191</v>
      </c>
      <c r="K105" s="4" t="s">
        <v>90</v>
      </c>
      <c r="L105" s="4" t="s">
        <v>21</v>
      </c>
      <c r="M105" s="3">
        <f>IF(H105 = "","",MONTH(H105))</f>
        <v>10</v>
      </c>
      <c r="N105" s="3">
        <f>IF(H105 = "","",YEAR(H105))</f>
        <v>2012</v>
      </c>
      <c r="O105" s="6">
        <f t="shared" si="6"/>
        <v>1</v>
      </c>
      <c r="P105" s="6" t="str">
        <f t="shared" si="7"/>
        <v>-</v>
      </c>
      <c r="Q105" s="6">
        <f t="shared" si="8"/>
        <v>0</v>
      </c>
      <c r="R105" s="6">
        <f t="shared" si="9"/>
        <v>0</v>
      </c>
      <c r="S105" s="6">
        <f t="shared" si="10"/>
        <v>0</v>
      </c>
    </row>
    <row r="106" spans="1:19" ht="14.1" customHeight="1" thickBot="1" x14ac:dyDescent="0.25">
      <c r="A106" s="4" t="str">
        <f>"1227"</f>
        <v>1227</v>
      </c>
      <c r="B106" s="5">
        <v>41197</v>
      </c>
      <c r="C106" s="5">
        <v>41234</v>
      </c>
      <c r="D106" s="4" t="str">
        <f>"12018"</f>
        <v>12018</v>
      </c>
      <c r="E106" s="5">
        <v>41206</v>
      </c>
      <c r="F106" s="5">
        <v>41206</v>
      </c>
      <c r="G106" s="4"/>
      <c r="H106" s="4"/>
      <c r="I106" s="4" t="s">
        <v>192</v>
      </c>
      <c r="J106" s="4" t="s">
        <v>193</v>
      </c>
      <c r="K106" s="4" t="s">
        <v>118</v>
      </c>
      <c r="L106" s="4" t="s">
        <v>127</v>
      </c>
      <c r="M106" s="3" t="str">
        <f>IF(H106 = "","",MONTH(H106))</f>
        <v/>
      </c>
      <c r="N106" s="3" t="str">
        <f>IF(H106 = "","",YEAR(H106))</f>
        <v/>
      </c>
      <c r="O106" s="6">
        <f t="shared" si="6"/>
        <v>9</v>
      </c>
      <c r="P106" s="6">
        <f t="shared" si="7"/>
        <v>-27</v>
      </c>
      <c r="Q106" s="6">
        <f t="shared" si="8"/>
        <v>0</v>
      </c>
      <c r="R106" s="6" t="str">
        <f t="shared" si="9"/>
        <v>-</v>
      </c>
      <c r="S106" s="6" t="str">
        <f t="shared" si="10"/>
        <v>-</v>
      </c>
    </row>
    <row r="107" spans="1:19" ht="14.1" customHeight="1" thickBot="1" x14ac:dyDescent="0.25">
      <c r="A107" s="4" t="str">
        <f>"1228"</f>
        <v>1228</v>
      </c>
      <c r="B107" s="5">
        <v>41197</v>
      </c>
      <c r="C107" s="5">
        <v>41604</v>
      </c>
      <c r="D107" s="4" t="str">
        <f>"13028"</f>
        <v>13028</v>
      </c>
      <c r="E107" s="5">
        <v>41617</v>
      </c>
      <c r="F107" s="5">
        <v>41677</v>
      </c>
      <c r="G107" s="5">
        <v>41677</v>
      </c>
      <c r="H107" s="5">
        <v>41682</v>
      </c>
      <c r="I107" s="4" t="s">
        <v>194</v>
      </c>
      <c r="J107" s="4" t="s">
        <v>195</v>
      </c>
      <c r="K107" s="4" t="s">
        <v>39</v>
      </c>
      <c r="L107" s="4" t="s">
        <v>21</v>
      </c>
      <c r="M107" s="3">
        <f>IF(H107 = "","",MONTH(H107))</f>
        <v>2</v>
      </c>
      <c r="N107" s="3">
        <f>IF(H107 = "","",YEAR(H107))</f>
        <v>2014</v>
      </c>
      <c r="O107" s="6">
        <f t="shared" si="6"/>
        <v>414</v>
      </c>
      <c r="P107" s="6">
        <f t="shared" si="7"/>
        <v>13</v>
      </c>
      <c r="Q107" s="6">
        <f t="shared" si="8"/>
        <v>58</v>
      </c>
      <c r="R107" s="6">
        <f t="shared" si="9"/>
        <v>58</v>
      </c>
      <c r="S107" s="6">
        <f t="shared" si="10"/>
        <v>63</v>
      </c>
    </row>
    <row r="108" spans="1:19" ht="14.1" customHeight="1" thickBot="1" x14ac:dyDescent="0.25">
      <c r="A108" s="4" t="str">
        <f>"1224"</f>
        <v>1224</v>
      </c>
      <c r="B108" s="5">
        <v>41177</v>
      </c>
      <c r="C108" s="4"/>
      <c r="D108" s="4" t="str">
        <f>"13023"</f>
        <v>13023</v>
      </c>
      <c r="E108" s="5">
        <v>41598</v>
      </c>
      <c r="F108" s="5">
        <v>41610</v>
      </c>
      <c r="G108" s="5">
        <v>41687</v>
      </c>
      <c r="H108" s="5">
        <v>41710</v>
      </c>
      <c r="I108" s="4" t="s">
        <v>196</v>
      </c>
      <c r="J108" s="4" t="s">
        <v>183</v>
      </c>
      <c r="K108" s="4" t="s">
        <v>118</v>
      </c>
      <c r="L108" s="4" t="s">
        <v>162</v>
      </c>
      <c r="M108" s="3">
        <f>IF(H108 = "","",MONTH(H108))</f>
        <v>3</v>
      </c>
      <c r="N108" s="3">
        <f>IF(H108 = "","",YEAR(H108))</f>
        <v>2014</v>
      </c>
      <c r="O108" s="6">
        <f t="shared" si="6"/>
        <v>415</v>
      </c>
      <c r="P108" s="6" t="str">
        <f t="shared" si="7"/>
        <v>-</v>
      </c>
      <c r="Q108" s="6">
        <f t="shared" si="8"/>
        <v>12</v>
      </c>
      <c r="R108" s="6">
        <f t="shared" si="9"/>
        <v>87</v>
      </c>
      <c r="S108" s="6">
        <f t="shared" si="10"/>
        <v>112</v>
      </c>
    </row>
    <row r="109" spans="1:19" ht="14.1" customHeight="1" thickBot="1" x14ac:dyDescent="0.25">
      <c r="A109" s="4" t="str">
        <f>"1222"</f>
        <v>1222</v>
      </c>
      <c r="B109" s="5">
        <v>41162</v>
      </c>
      <c r="C109" s="5">
        <v>41193</v>
      </c>
      <c r="D109" s="4" t="str">
        <f>"12017"</f>
        <v>12017</v>
      </c>
      <c r="E109" s="5">
        <v>41190</v>
      </c>
      <c r="F109" s="5">
        <v>41201</v>
      </c>
      <c r="G109" s="4"/>
      <c r="H109" s="5">
        <v>41766</v>
      </c>
      <c r="I109" s="4" t="s">
        <v>197</v>
      </c>
      <c r="J109" s="4" t="s">
        <v>198</v>
      </c>
      <c r="K109" s="4" t="s">
        <v>39</v>
      </c>
      <c r="L109" s="4" t="s">
        <v>21</v>
      </c>
      <c r="M109" s="3">
        <f>IF(H109 = "","",MONTH(H109))</f>
        <v>5</v>
      </c>
      <c r="N109" s="3">
        <f>IF(H109 = "","",YEAR(H109))</f>
        <v>2014</v>
      </c>
      <c r="O109" s="6">
        <f t="shared" si="6"/>
        <v>28</v>
      </c>
      <c r="P109" s="6">
        <f t="shared" si="7"/>
        <v>-3</v>
      </c>
      <c r="Q109" s="6">
        <f t="shared" si="8"/>
        <v>11</v>
      </c>
      <c r="R109" s="6" t="str">
        <f t="shared" si="9"/>
        <v>-</v>
      </c>
      <c r="S109" s="6">
        <f t="shared" si="10"/>
        <v>569</v>
      </c>
    </row>
    <row r="110" spans="1:19" ht="14.1" customHeight="1" thickBot="1" x14ac:dyDescent="0.25">
      <c r="A110" s="4" t="str">
        <f>"1220"</f>
        <v>1220</v>
      </c>
      <c r="B110" s="5">
        <v>41121</v>
      </c>
      <c r="C110" s="5">
        <v>41121</v>
      </c>
      <c r="D110" s="4" t="str">
        <f>"12014"</f>
        <v>12014</v>
      </c>
      <c r="E110" s="5">
        <v>41121</v>
      </c>
      <c r="F110" s="5">
        <v>41156</v>
      </c>
      <c r="G110" s="4"/>
      <c r="H110" s="4"/>
      <c r="I110" s="4" t="s">
        <v>199</v>
      </c>
      <c r="J110" s="4" t="s">
        <v>200</v>
      </c>
      <c r="K110" s="4" t="s">
        <v>39</v>
      </c>
      <c r="L110" s="4" t="s">
        <v>21</v>
      </c>
      <c r="M110" s="3" t="str">
        <f>IF(H110 = "","",MONTH(H110))</f>
        <v/>
      </c>
      <c r="N110" s="3" t="str">
        <f>IF(H110 = "","",YEAR(H110))</f>
        <v/>
      </c>
      <c r="O110" s="6">
        <f t="shared" si="6"/>
        <v>0</v>
      </c>
      <c r="P110" s="6">
        <f t="shared" si="7"/>
        <v>0</v>
      </c>
      <c r="Q110" s="6">
        <f t="shared" si="8"/>
        <v>34</v>
      </c>
      <c r="R110" s="6" t="str">
        <f t="shared" si="9"/>
        <v>-</v>
      </c>
      <c r="S110" s="6" t="str">
        <f t="shared" si="10"/>
        <v>-</v>
      </c>
    </row>
    <row r="111" spans="1:19" ht="14.1" customHeight="1" thickBot="1" x14ac:dyDescent="0.25">
      <c r="A111" s="4" t="str">
        <f>"1217"</f>
        <v>1217</v>
      </c>
      <c r="B111" s="5">
        <v>41044</v>
      </c>
      <c r="C111" s="5">
        <v>41066</v>
      </c>
      <c r="D111" s="4" t="str">
        <f>"12011"</f>
        <v>12011</v>
      </c>
      <c r="E111" s="5">
        <v>41085</v>
      </c>
      <c r="F111" s="5">
        <v>41109</v>
      </c>
      <c r="G111" s="5">
        <v>41164</v>
      </c>
      <c r="H111" s="5">
        <v>41190</v>
      </c>
      <c r="I111" s="4" t="s">
        <v>201</v>
      </c>
      <c r="J111" s="4" t="s">
        <v>202</v>
      </c>
      <c r="K111" s="4" t="s">
        <v>90</v>
      </c>
      <c r="L111" s="4" t="s">
        <v>162</v>
      </c>
      <c r="M111" s="3">
        <f>IF(H111 = "","",MONTH(H111))</f>
        <v>10</v>
      </c>
      <c r="N111" s="3">
        <f>IF(H111 = "","",YEAR(H111))</f>
        <v>2012</v>
      </c>
      <c r="O111" s="6">
        <f t="shared" si="6"/>
        <v>40</v>
      </c>
      <c r="P111" s="6">
        <f t="shared" si="7"/>
        <v>19</v>
      </c>
      <c r="Q111" s="6">
        <f t="shared" si="8"/>
        <v>24</v>
      </c>
      <c r="R111" s="6">
        <f t="shared" si="9"/>
        <v>77</v>
      </c>
      <c r="S111" s="6">
        <f t="shared" si="10"/>
        <v>103</v>
      </c>
    </row>
    <row r="112" spans="1:19" ht="14.1" customHeight="1" thickBot="1" x14ac:dyDescent="0.25">
      <c r="A112" s="4" t="str">
        <f>"1215"</f>
        <v>1215</v>
      </c>
      <c r="B112" s="5">
        <v>41032</v>
      </c>
      <c r="C112" s="4"/>
      <c r="D112" s="4" t="str">
        <f>"12009"</f>
        <v>12009</v>
      </c>
      <c r="E112" s="5">
        <v>41032</v>
      </c>
      <c r="F112" s="4"/>
      <c r="G112" s="4"/>
      <c r="H112" s="4"/>
      <c r="I112" s="4" t="s">
        <v>203</v>
      </c>
      <c r="J112" s="4" t="s">
        <v>204</v>
      </c>
      <c r="K112" s="4" t="s">
        <v>90</v>
      </c>
      <c r="L112" s="4" t="s">
        <v>127</v>
      </c>
      <c r="M112" s="3" t="str">
        <f>IF(H112 = "","",MONTH(H112))</f>
        <v/>
      </c>
      <c r="N112" s="3" t="str">
        <f>IF(H112 = "","",YEAR(H112))</f>
        <v/>
      </c>
      <c r="O112" s="6">
        <f t="shared" si="6"/>
        <v>0</v>
      </c>
      <c r="P112" s="6" t="str">
        <f t="shared" si="7"/>
        <v>-</v>
      </c>
      <c r="Q112" s="6" t="str">
        <f t="shared" si="8"/>
        <v>-</v>
      </c>
      <c r="R112" s="6" t="str">
        <f t="shared" si="9"/>
        <v>-</v>
      </c>
      <c r="S112" s="6" t="str">
        <f t="shared" si="10"/>
        <v>-</v>
      </c>
    </row>
    <row r="113" spans="1:19" ht="14.1" customHeight="1" thickBot="1" x14ac:dyDescent="0.25">
      <c r="A113" s="4" t="str">
        <f>"1211"</f>
        <v>1211</v>
      </c>
      <c r="B113" s="5">
        <v>41018</v>
      </c>
      <c r="C113" s="5">
        <v>41047</v>
      </c>
      <c r="D113" s="4" t="str">
        <f>"12008"</f>
        <v>12008</v>
      </c>
      <c r="E113" s="5">
        <v>41016</v>
      </c>
      <c r="F113" s="4"/>
      <c r="G113" s="5">
        <v>41050</v>
      </c>
      <c r="H113" s="4"/>
      <c r="I113" s="4" t="s">
        <v>205</v>
      </c>
      <c r="J113" s="4" t="s">
        <v>206</v>
      </c>
      <c r="K113" s="4" t="s">
        <v>207</v>
      </c>
      <c r="L113" s="4" t="s">
        <v>50</v>
      </c>
      <c r="M113" s="3" t="str">
        <f>IF(H113 = "","",MONTH(H113))</f>
        <v/>
      </c>
      <c r="N113" s="3" t="str">
        <f>IF(H113 = "","",YEAR(H113))</f>
        <v/>
      </c>
      <c r="O113" s="6">
        <f t="shared" si="6"/>
        <v>-2</v>
      </c>
      <c r="P113" s="6">
        <f t="shared" si="7"/>
        <v>-31</v>
      </c>
      <c r="Q113" s="6" t="str">
        <f t="shared" si="8"/>
        <v>-</v>
      </c>
      <c r="R113" s="6">
        <f t="shared" si="9"/>
        <v>34</v>
      </c>
      <c r="S113" s="6" t="str">
        <f t="shared" si="10"/>
        <v>-</v>
      </c>
    </row>
    <row r="114" spans="1:19" ht="14.1" customHeight="1" thickBot="1" x14ac:dyDescent="0.25">
      <c r="A114" s="4" t="str">
        <f>"1210"</f>
        <v>1210</v>
      </c>
      <c r="B114" s="5">
        <v>41018</v>
      </c>
      <c r="C114" s="5">
        <v>41018</v>
      </c>
      <c r="D114" s="4" t="str">
        <f>"12013"</f>
        <v>12013</v>
      </c>
      <c r="E114" s="5">
        <v>41094</v>
      </c>
      <c r="F114" s="5">
        <v>41123</v>
      </c>
      <c r="G114" s="4"/>
      <c r="H114" s="5">
        <v>41123</v>
      </c>
      <c r="I114" s="4" t="s">
        <v>208</v>
      </c>
      <c r="J114" s="4" t="s">
        <v>148</v>
      </c>
      <c r="K114" s="4" t="s">
        <v>39</v>
      </c>
      <c r="L114" s="4" t="s">
        <v>21</v>
      </c>
      <c r="M114" s="3">
        <f>IF(H114 = "","",MONTH(H114))</f>
        <v>8</v>
      </c>
      <c r="N114" s="3">
        <f>IF(H114 = "","",YEAR(H114))</f>
        <v>2012</v>
      </c>
      <c r="O114" s="6">
        <f t="shared" si="6"/>
        <v>75</v>
      </c>
      <c r="P114" s="6">
        <f t="shared" si="7"/>
        <v>75</v>
      </c>
      <c r="Q114" s="6">
        <f t="shared" si="8"/>
        <v>28</v>
      </c>
      <c r="R114" s="6" t="str">
        <f t="shared" si="9"/>
        <v>-</v>
      </c>
      <c r="S114" s="6">
        <f t="shared" si="10"/>
        <v>28</v>
      </c>
    </row>
    <row r="115" spans="1:19" ht="14.1" customHeight="1" thickBot="1" x14ac:dyDescent="0.25">
      <c r="A115" s="4" t="str">
        <f>"1205"</f>
        <v>1205</v>
      </c>
      <c r="B115" s="5">
        <v>40955</v>
      </c>
      <c r="C115" s="5">
        <v>40959</v>
      </c>
      <c r="D115" s="4" t="str">
        <f>"12007"</f>
        <v>12007</v>
      </c>
      <c r="E115" s="5">
        <v>40967</v>
      </c>
      <c r="F115" s="5">
        <v>41001</v>
      </c>
      <c r="G115" s="4"/>
      <c r="H115" s="4"/>
      <c r="I115" s="4" t="s">
        <v>209</v>
      </c>
      <c r="J115" s="4" t="s">
        <v>210</v>
      </c>
      <c r="K115" s="4" t="s">
        <v>39</v>
      </c>
      <c r="L115" s="4" t="s">
        <v>47</v>
      </c>
      <c r="M115" s="3" t="str">
        <f>IF(H115 = "","",MONTH(H115))</f>
        <v/>
      </c>
      <c r="N115" s="3" t="str">
        <f>IF(H115 = "","",YEAR(H115))</f>
        <v/>
      </c>
      <c r="O115" s="6">
        <f t="shared" si="6"/>
        <v>12</v>
      </c>
      <c r="P115" s="6">
        <f t="shared" si="7"/>
        <v>8</v>
      </c>
      <c r="Q115" s="6">
        <f t="shared" si="8"/>
        <v>34</v>
      </c>
      <c r="R115" s="6" t="str">
        <f t="shared" si="9"/>
        <v>-</v>
      </c>
      <c r="S115" s="6" t="str">
        <f t="shared" si="10"/>
        <v>-</v>
      </c>
    </row>
    <row r="116" spans="1:19" ht="14.1" customHeight="1" thickBot="1" x14ac:dyDescent="0.25">
      <c r="A116" s="4" t="str">
        <f>"1203"</f>
        <v>1203</v>
      </c>
      <c r="B116" s="5">
        <v>40946</v>
      </c>
      <c r="C116" s="4"/>
      <c r="D116" s="4" t="str">
        <f>"12006"</f>
        <v>12006</v>
      </c>
      <c r="E116" s="5">
        <v>40947</v>
      </c>
      <c r="F116" s="5">
        <v>40960</v>
      </c>
      <c r="G116" s="4"/>
      <c r="H116" s="5">
        <v>40960</v>
      </c>
      <c r="I116" s="4" t="s">
        <v>211</v>
      </c>
      <c r="J116" s="4" t="s">
        <v>212</v>
      </c>
      <c r="K116" s="4" t="s">
        <v>39</v>
      </c>
      <c r="L116" s="4" t="s">
        <v>21</v>
      </c>
      <c r="M116" s="3">
        <f>IF(H116 = "","",MONTH(H116))</f>
        <v>2</v>
      </c>
      <c r="N116" s="3">
        <f>IF(H116 = "","",YEAR(H116))</f>
        <v>2012</v>
      </c>
      <c r="O116" s="6">
        <f t="shared" si="6"/>
        <v>1</v>
      </c>
      <c r="P116" s="6" t="str">
        <f t="shared" si="7"/>
        <v>-</v>
      </c>
      <c r="Q116" s="6">
        <f t="shared" si="8"/>
        <v>13</v>
      </c>
      <c r="R116" s="6" t="str">
        <f t="shared" si="9"/>
        <v>-</v>
      </c>
      <c r="S116" s="6">
        <f t="shared" si="10"/>
        <v>13</v>
      </c>
    </row>
    <row r="117" spans="1:19" ht="14.1" customHeight="1" thickBot="1" x14ac:dyDescent="0.25">
      <c r="A117" s="4" t="str">
        <f>"1149"</f>
        <v>1149</v>
      </c>
      <c r="B117" s="5">
        <v>40918</v>
      </c>
      <c r="C117" s="4"/>
      <c r="D117" s="4" t="str">
        <f>"11018"</f>
        <v>11018</v>
      </c>
      <c r="E117" s="5">
        <v>40918</v>
      </c>
      <c r="F117" s="5">
        <v>40918</v>
      </c>
      <c r="G117" s="4"/>
      <c r="H117" s="5">
        <v>40918</v>
      </c>
      <c r="I117" s="4" t="s">
        <v>213</v>
      </c>
      <c r="J117" s="4" t="s">
        <v>204</v>
      </c>
      <c r="K117" s="4" t="s">
        <v>214</v>
      </c>
      <c r="L117" s="4" t="s">
        <v>21</v>
      </c>
      <c r="M117" s="3">
        <f>IF(H117 = "","",MONTH(H117))</f>
        <v>1</v>
      </c>
      <c r="N117" s="3">
        <f>IF(H117 = "","",YEAR(H117))</f>
        <v>2012</v>
      </c>
      <c r="O117" s="6">
        <f t="shared" si="6"/>
        <v>0</v>
      </c>
      <c r="P117" s="6" t="str">
        <f t="shared" si="7"/>
        <v>-</v>
      </c>
      <c r="Q117" s="6">
        <f t="shared" si="8"/>
        <v>0</v>
      </c>
      <c r="R117" s="6" t="str">
        <f t="shared" si="9"/>
        <v>-</v>
      </c>
      <c r="S117" s="6">
        <f t="shared" si="10"/>
        <v>0</v>
      </c>
    </row>
    <row r="118" spans="1:19" ht="14.1" customHeight="1" thickBot="1" x14ac:dyDescent="0.25">
      <c r="A118" s="4" t="str">
        <f>"1201"</f>
        <v>1201</v>
      </c>
      <c r="B118" s="5">
        <v>40910</v>
      </c>
      <c r="C118" s="4"/>
      <c r="D118" s="4" t="str">
        <f>"12001"</f>
        <v>12001</v>
      </c>
      <c r="E118" s="5">
        <v>40925</v>
      </c>
      <c r="F118" s="4"/>
      <c r="G118" s="4"/>
      <c r="H118" s="4"/>
      <c r="I118" s="4" t="s">
        <v>215</v>
      </c>
      <c r="J118" s="4" t="s">
        <v>148</v>
      </c>
      <c r="K118" s="4"/>
      <c r="L118" s="4" t="s">
        <v>162</v>
      </c>
      <c r="M118" s="3" t="str">
        <f>IF(H118 = "","",MONTH(H118))</f>
        <v/>
      </c>
      <c r="N118" s="3" t="str">
        <f>IF(H118 = "","",YEAR(H118))</f>
        <v/>
      </c>
      <c r="O118" s="6">
        <f t="shared" si="6"/>
        <v>15</v>
      </c>
      <c r="P118" s="6" t="str">
        <f t="shared" si="7"/>
        <v>-</v>
      </c>
      <c r="Q118" s="6" t="str">
        <f t="shared" si="8"/>
        <v>-</v>
      </c>
      <c r="R118" s="6" t="str">
        <f t="shared" si="9"/>
        <v>-</v>
      </c>
      <c r="S118" s="6" t="str">
        <f t="shared" si="10"/>
        <v>-</v>
      </c>
    </row>
    <row r="119" spans="1:19" ht="14.1" customHeight="1" thickBot="1" x14ac:dyDescent="0.25">
      <c r="A119" s="4" t="str">
        <f>"1148"</f>
        <v>1148</v>
      </c>
      <c r="B119" s="5">
        <v>40904</v>
      </c>
      <c r="C119" s="4"/>
      <c r="D119" s="4" t="str">
        <f>"11017"</f>
        <v>11017</v>
      </c>
      <c r="E119" s="5">
        <v>40904</v>
      </c>
      <c r="F119" s="5">
        <v>40905</v>
      </c>
      <c r="G119" s="4"/>
      <c r="H119" s="5">
        <v>40905</v>
      </c>
      <c r="I119" s="4" t="s">
        <v>216</v>
      </c>
      <c r="J119" s="4" t="s">
        <v>204</v>
      </c>
      <c r="K119" s="4" t="s">
        <v>217</v>
      </c>
      <c r="L119" s="4" t="s">
        <v>21</v>
      </c>
      <c r="M119" s="3">
        <f>IF(H119 = "","",MONTH(H119))</f>
        <v>12</v>
      </c>
      <c r="N119" s="3">
        <f>IF(H119 = "","",YEAR(H119))</f>
        <v>2011</v>
      </c>
      <c r="O119" s="6">
        <f t="shared" si="6"/>
        <v>0</v>
      </c>
      <c r="P119" s="6" t="str">
        <f t="shared" si="7"/>
        <v>-</v>
      </c>
      <c r="Q119" s="6">
        <f t="shared" si="8"/>
        <v>1</v>
      </c>
      <c r="R119" s="6" t="str">
        <f t="shared" si="9"/>
        <v>-</v>
      </c>
      <c r="S119" s="6">
        <f t="shared" si="10"/>
        <v>1</v>
      </c>
    </row>
    <row r="120" spans="1:19" ht="14.1" customHeight="1" thickBot="1" x14ac:dyDescent="0.25">
      <c r="A120" s="4" t="str">
        <f>"1144"</f>
        <v>1144</v>
      </c>
      <c r="B120" s="5">
        <v>40876</v>
      </c>
      <c r="C120" s="5">
        <v>41338</v>
      </c>
      <c r="D120" s="4" t="str">
        <f>"13005"</f>
        <v>13005</v>
      </c>
      <c r="E120" s="5">
        <v>41346</v>
      </c>
      <c r="F120" s="5">
        <v>41375</v>
      </c>
      <c r="G120" s="5">
        <v>41381</v>
      </c>
      <c r="H120" s="5">
        <v>41463</v>
      </c>
      <c r="I120" s="4" t="s">
        <v>218</v>
      </c>
      <c r="J120" s="4" t="s">
        <v>151</v>
      </c>
      <c r="K120" s="4" t="s">
        <v>118</v>
      </c>
      <c r="L120" s="4" t="s">
        <v>162</v>
      </c>
      <c r="M120" s="3">
        <f>IF(H120 = "","",MONTH(H120))</f>
        <v>7</v>
      </c>
      <c r="N120" s="3">
        <f>IF(H120 = "","",YEAR(H120))</f>
        <v>2013</v>
      </c>
      <c r="O120" s="6">
        <f t="shared" si="6"/>
        <v>464</v>
      </c>
      <c r="P120" s="6">
        <f t="shared" si="7"/>
        <v>8</v>
      </c>
      <c r="Q120" s="6">
        <f t="shared" si="8"/>
        <v>28</v>
      </c>
      <c r="R120" s="6">
        <f t="shared" si="9"/>
        <v>34</v>
      </c>
      <c r="S120" s="6">
        <f t="shared" si="10"/>
        <v>115</v>
      </c>
    </row>
    <row r="121" spans="1:19" ht="14.1" customHeight="1" thickBot="1" x14ac:dyDescent="0.25">
      <c r="A121" s="4" t="str">
        <f>"1145"</f>
        <v>1145</v>
      </c>
      <c r="B121" s="5">
        <v>40875</v>
      </c>
      <c r="C121" s="4"/>
      <c r="D121" s="4" t="str">
        <f>"11014"</f>
        <v>11014</v>
      </c>
      <c r="E121" s="5">
        <v>40871</v>
      </c>
      <c r="F121" s="5">
        <v>40893</v>
      </c>
      <c r="G121" s="4"/>
      <c r="H121" s="4"/>
      <c r="I121" s="4" t="s">
        <v>219</v>
      </c>
      <c r="J121" s="4" t="s">
        <v>148</v>
      </c>
      <c r="K121" s="4" t="s">
        <v>39</v>
      </c>
      <c r="L121" s="4" t="s">
        <v>21</v>
      </c>
      <c r="M121" s="3" t="str">
        <f>IF(H121 = "","",MONTH(H121))</f>
        <v/>
      </c>
      <c r="N121" s="3" t="str">
        <f>IF(H121 = "","",YEAR(H121))</f>
        <v/>
      </c>
      <c r="O121" s="6">
        <f t="shared" si="6"/>
        <v>-4</v>
      </c>
      <c r="P121" s="6" t="str">
        <f t="shared" si="7"/>
        <v>-</v>
      </c>
      <c r="Q121" s="6">
        <f t="shared" si="8"/>
        <v>22</v>
      </c>
      <c r="R121" s="6" t="str">
        <f t="shared" si="9"/>
        <v>-</v>
      </c>
      <c r="S121" s="6" t="str">
        <f t="shared" si="10"/>
        <v>-</v>
      </c>
    </row>
    <row r="122" spans="1:19" ht="14.1" customHeight="1" thickBot="1" x14ac:dyDescent="0.25">
      <c r="A122" s="4" t="str">
        <f>"1143"</f>
        <v>1143</v>
      </c>
      <c r="B122" s="5">
        <v>40871</v>
      </c>
      <c r="C122" s="4"/>
      <c r="D122" s="4" t="str">
        <f>"11016"</f>
        <v>11016</v>
      </c>
      <c r="E122" s="5">
        <v>40892</v>
      </c>
      <c r="F122" s="4"/>
      <c r="G122" s="4"/>
      <c r="H122" s="4"/>
      <c r="I122" s="4" t="s">
        <v>220</v>
      </c>
      <c r="J122" s="4" t="s">
        <v>221</v>
      </c>
      <c r="K122" s="4" t="s">
        <v>56</v>
      </c>
      <c r="L122" s="4" t="s">
        <v>21</v>
      </c>
      <c r="M122" s="3" t="str">
        <f>IF(H122 = "","",MONTH(H122))</f>
        <v/>
      </c>
      <c r="N122" s="3" t="str">
        <f>IF(H122 = "","",YEAR(H122))</f>
        <v/>
      </c>
      <c r="O122" s="6">
        <f t="shared" si="6"/>
        <v>21</v>
      </c>
      <c r="P122" s="6" t="str">
        <f t="shared" si="7"/>
        <v>-</v>
      </c>
      <c r="Q122" s="6" t="str">
        <f t="shared" si="8"/>
        <v>-</v>
      </c>
      <c r="R122" s="6" t="str">
        <f t="shared" si="9"/>
        <v>-</v>
      </c>
      <c r="S122" s="6" t="str">
        <f t="shared" si="10"/>
        <v>-</v>
      </c>
    </row>
    <row r="123" spans="1:19" ht="14.1" customHeight="1" thickBot="1" x14ac:dyDescent="0.25">
      <c r="A123" s="4" t="str">
        <f>"1146"</f>
        <v>1146</v>
      </c>
      <c r="B123" s="5">
        <v>40869</v>
      </c>
      <c r="C123" s="5">
        <v>41037</v>
      </c>
      <c r="D123" s="4" t="str">
        <f>"12010"</f>
        <v>12010</v>
      </c>
      <c r="E123" s="4"/>
      <c r="F123" s="5">
        <v>41064</v>
      </c>
      <c r="G123" s="4"/>
      <c r="H123" s="5">
        <v>41064</v>
      </c>
      <c r="I123" s="4" t="s">
        <v>222</v>
      </c>
      <c r="J123" s="4" t="s">
        <v>148</v>
      </c>
      <c r="K123" s="4" t="s">
        <v>39</v>
      </c>
      <c r="L123" s="4" t="s">
        <v>162</v>
      </c>
      <c r="M123" s="3">
        <f>IF(H123 = "","",MONTH(H123))</f>
        <v>6</v>
      </c>
      <c r="N123" s="3">
        <f>IF(H123 = "","",YEAR(H123))</f>
        <v>2012</v>
      </c>
      <c r="O123" s="6" t="str">
        <f t="shared" si="6"/>
        <v>-</v>
      </c>
      <c r="P123" s="6" t="str">
        <f t="shared" si="7"/>
        <v>-</v>
      </c>
      <c r="Q123" s="6" t="str">
        <f t="shared" si="8"/>
        <v>-</v>
      </c>
      <c r="R123" s="6" t="str">
        <f t="shared" si="9"/>
        <v>-</v>
      </c>
      <c r="S123" s="6" t="str">
        <f t="shared" si="10"/>
        <v>-</v>
      </c>
    </row>
    <row r="124" spans="1:19" ht="14.1" customHeight="1" thickBot="1" x14ac:dyDescent="0.25">
      <c r="A124" s="4" t="str">
        <f>"1139"</f>
        <v>1139</v>
      </c>
      <c r="B124" s="5">
        <v>40859</v>
      </c>
      <c r="C124" s="4"/>
      <c r="D124" s="4" t="str">
        <f>"12004"</f>
        <v>12004</v>
      </c>
      <c r="E124" s="5">
        <v>40939</v>
      </c>
      <c r="F124" s="5">
        <v>41116</v>
      </c>
      <c r="G124" s="4"/>
      <c r="H124" s="5">
        <v>41116</v>
      </c>
      <c r="I124" s="4" t="s">
        <v>223</v>
      </c>
      <c r="J124" s="4" t="s">
        <v>224</v>
      </c>
      <c r="K124" s="4" t="s">
        <v>225</v>
      </c>
      <c r="L124" s="4" t="s">
        <v>162</v>
      </c>
      <c r="M124" s="3">
        <f>IF(H124 = "","",MONTH(H124))</f>
        <v>7</v>
      </c>
      <c r="N124" s="3">
        <f>IF(H124 = "","",YEAR(H124))</f>
        <v>2012</v>
      </c>
      <c r="O124" s="6">
        <f t="shared" si="6"/>
        <v>79</v>
      </c>
      <c r="P124" s="6" t="str">
        <f t="shared" si="7"/>
        <v>-</v>
      </c>
      <c r="Q124" s="6">
        <f t="shared" si="8"/>
        <v>176</v>
      </c>
      <c r="R124" s="6" t="str">
        <f t="shared" si="9"/>
        <v>-</v>
      </c>
      <c r="S124" s="6">
        <f t="shared" si="10"/>
        <v>176</v>
      </c>
    </row>
    <row r="125" spans="1:19" ht="14.1" customHeight="1" thickBot="1" x14ac:dyDescent="0.25">
      <c r="A125" s="4" t="str">
        <f>"1138"</f>
        <v>1138</v>
      </c>
      <c r="B125" s="5">
        <v>40840</v>
      </c>
      <c r="C125" s="4"/>
      <c r="D125" s="4"/>
      <c r="E125" s="4"/>
      <c r="F125" s="4"/>
      <c r="G125" s="4"/>
      <c r="H125" s="4"/>
      <c r="I125" s="4" t="s">
        <v>226</v>
      </c>
      <c r="J125" s="4" t="s">
        <v>227</v>
      </c>
      <c r="K125" s="4" t="s">
        <v>39</v>
      </c>
      <c r="L125" s="4" t="str">
        <f>"0"</f>
        <v>0</v>
      </c>
      <c r="M125" s="3" t="str">
        <f>IF(H125 = "","",MONTH(H125))</f>
        <v/>
      </c>
      <c r="N125" s="3" t="str">
        <f>IF(H125 = "","",YEAR(H125))</f>
        <v/>
      </c>
      <c r="O125" s="6" t="str">
        <f t="shared" si="6"/>
        <v>-</v>
      </c>
      <c r="P125" s="6" t="str">
        <f t="shared" si="7"/>
        <v>-</v>
      </c>
      <c r="Q125" s="6" t="str">
        <f t="shared" si="8"/>
        <v>-</v>
      </c>
      <c r="R125" s="6" t="str">
        <f t="shared" si="9"/>
        <v>-</v>
      </c>
      <c r="S125" s="6" t="str">
        <f t="shared" si="10"/>
        <v>-</v>
      </c>
    </row>
    <row r="126" spans="1:19" ht="14.1" customHeight="1" thickBot="1" x14ac:dyDescent="0.25">
      <c r="A126" s="4" t="str">
        <f>"1136"</f>
        <v>1136</v>
      </c>
      <c r="B126" s="5">
        <v>40829</v>
      </c>
      <c r="C126" s="4"/>
      <c r="D126" s="4" t="str">
        <f>"12002"</f>
        <v>12002</v>
      </c>
      <c r="E126" s="4"/>
      <c r="F126" s="4"/>
      <c r="G126" s="4"/>
      <c r="H126" s="4"/>
      <c r="I126" s="4" t="s">
        <v>228</v>
      </c>
      <c r="J126" s="4" t="s">
        <v>229</v>
      </c>
      <c r="K126" s="4" t="s">
        <v>39</v>
      </c>
      <c r="L126" s="4" t="s">
        <v>230</v>
      </c>
      <c r="M126" s="3" t="str">
        <f>IF(H126 = "","",MONTH(H126))</f>
        <v/>
      </c>
      <c r="N126" s="3" t="str">
        <f>IF(H126 = "","",YEAR(H126))</f>
        <v/>
      </c>
      <c r="O126" s="6" t="str">
        <f t="shared" si="6"/>
        <v>-</v>
      </c>
      <c r="P126" s="6" t="str">
        <f t="shared" si="7"/>
        <v>-</v>
      </c>
      <c r="Q126" s="6" t="str">
        <f t="shared" si="8"/>
        <v>-</v>
      </c>
      <c r="R126" s="6" t="str">
        <f t="shared" si="9"/>
        <v>-</v>
      </c>
      <c r="S126" s="6" t="str">
        <f t="shared" si="10"/>
        <v>-</v>
      </c>
    </row>
    <row r="127" spans="1:19" ht="14.1" customHeight="1" thickBot="1" x14ac:dyDescent="0.25">
      <c r="A127" s="4" t="str">
        <f>"1137"</f>
        <v>1137</v>
      </c>
      <c r="B127" s="5">
        <v>40822</v>
      </c>
      <c r="C127" s="4"/>
      <c r="D127" s="4"/>
      <c r="E127" s="4"/>
      <c r="F127" s="4"/>
      <c r="G127" s="4"/>
      <c r="H127" s="4"/>
      <c r="I127" s="4" t="s">
        <v>231</v>
      </c>
      <c r="J127" s="4" t="s">
        <v>232</v>
      </c>
      <c r="K127" s="4" t="s">
        <v>39</v>
      </c>
      <c r="L127" s="4" t="str">
        <f>"0"</f>
        <v>0</v>
      </c>
      <c r="M127" s="3" t="str">
        <f>IF(H127 = "","",MONTH(H127))</f>
        <v/>
      </c>
      <c r="N127" s="3" t="str">
        <f>IF(H127 = "","",YEAR(H127))</f>
        <v/>
      </c>
      <c r="O127" s="6" t="str">
        <f t="shared" si="6"/>
        <v>-</v>
      </c>
      <c r="P127" s="6" t="str">
        <f t="shared" si="7"/>
        <v>-</v>
      </c>
      <c r="Q127" s="6" t="str">
        <f t="shared" si="8"/>
        <v>-</v>
      </c>
      <c r="R127" s="6" t="str">
        <f t="shared" si="9"/>
        <v>-</v>
      </c>
      <c r="S127" s="6" t="str">
        <f t="shared" si="10"/>
        <v>-</v>
      </c>
    </row>
    <row r="128" spans="1:19" ht="14.1" customHeight="1" thickBot="1" x14ac:dyDescent="0.25">
      <c r="A128" s="4" t="str">
        <f>"1135"</f>
        <v>1135</v>
      </c>
      <c r="B128" s="5">
        <v>40820</v>
      </c>
      <c r="C128" s="4"/>
      <c r="D128" s="4" t="str">
        <f>"11010"</f>
        <v>11010</v>
      </c>
      <c r="E128" s="5">
        <v>40842</v>
      </c>
      <c r="F128" s="5">
        <v>40842</v>
      </c>
      <c r="G128" s="4"/>
      <c r="H128" s="5">
        <v>41360</v>
      </c>
      <c r="I128" s="4" t="s">
        <v>233</v>
      </c>
      <c r="J128" s="4" t="s">
        <v>234</v>
      </c>
      <c r="K128" s="4" t="s">
        <v>39</v>
      </c>
      <c r="L128" s="4" t="s">
        <v>21</v>
      </c>
      <c r="M128" s="3">
        <f>IF(H128 = "","",MONTH(H128))</f>
        <v>3</v>
      </c>
      <c r="N128" s="3">
        <f>IF(H128 = "","",YEAR(H128))</f>
        <v>2013</v>
      </c>
      <c r="O128" s="6">
        <f t="shared" si="6"/>
        <v>22</v>
      </c>
      <c r="P128" s="6" t="str">
        <f t="shared" si="7"/>
        <v>-</v>
      </c>
      <c r="Q128" s="6">
        <f t="shared" si="8"/>
        <v>0</v>
      </c>
      <c r="R128" s="6" t="str">
        <f t="shared" si="9"/>
        <v>-</v>
      </c>
      <c r="S128" s="6">
        <f t="shared" si="10"/>
        <v>511</v>
      </c>
    </row>
    <row r="129" spans="1:19" ht="14.1" customHeight="1" thickBot="1" x14ac:dyDescent="0.25">
      <c r="A129" s="4" t="str">
        <f>"1134"</f>
        <v>1134</v>
      </c>
      <c r="B129" s="5">
        <v>40812</v>
      </c>
      <c r="C129" s="4"/>
      <c r="D129" s="4" t="str">
        <f>"12005"</f>
        <v>12005</v>
      </c>
      <c r="E129" s="5">
        <v>40939</v>
      </c>
      <c r="F129" s="5">
        <v>40998</v>
      </c>
      <c r="G129" s="5">
        <v>41793</v>
      </c>
      <c r="H129" s="5">
        <v>41821</v>
      </c>
      <c r="I129" s="4" t="s">
        <v>235</v>
      </c>
      <c r="J129" s="4" t="s">
        <v>236</v>
      </c>
      <c r="K129" s="4" t="s">
        <v>39</v>
      </c>
      <c r="L129" s="4" t="s">
        <v>21</v>
      </c>
      <c r="M129" s="3">
        <f>IF(H129 = "","",MONTH(H129))</f>
        <v>7</v>
      </c>
      <c r="N129" s="3">
        <f>IF(H129 = "","",YEAR(H129))</f>
        <v>2014</v>
      </c>
      <c r="O129" s="6">
        <f t="shared" si="6"/>
        <v>125</v>
      </c>
      <c r="P129" s="6" t="str">
        <f t="shared" si="7"/>
        <v>-</v>
      </c>
      <c r="Q129" s="6">
        <f t="shared" si="8"/>
        <v>60</v>
      </c>
      <c r="R129" s="6">
        <f t="shared" si="9"/>
        <v>843</v>
      </c>
      <c r="S129" s="6">
        <f t="shared" si="10"/>
        <v>871</v>
      </c>
    </row>
    <row r="130" spans="1:19" ht="14.1" customHeight="1" thickBot="1" x14ac:dyDescent="0.25">
      <c r="A130" s="4" t="str">
        <f>"1130"</f>
        <v>1130</v>
      </c>
      <c r="B130" s="5">
        <v>40806</v>
      </c>
      <c r="C130" s="4"/>
      <c r="D130" s="4" t="str">
        <f>"12003"</f>
        <v>12003</v>
      </c>
      <c r="E130" s="5">
        <v>40931</v>
      </c>
      <c r="F130" s="5">
        <v>40998</v>
      </c>
      <c r="G130" s="4"/>
      <c r="H130" s="4"/>
      <c r="I130" s="4" t="s">
        <v>237</v>
      </c>
      <c r="J130" s="4" t="s">
        <v>238</v>
      </c>
      <c r="K130" s="4" t="s">
        <v>39</v>
      </c>
      <c r="L130" s="4" t="s">
        <v>86</v>
      </c>
      <c r="M130" s="3" t="str">
        <f>IF(H130 = "","",MONTH(H130))</f>
        <v/>
      </c>
      <c r="N130" s="3" t="str">
        <f>IF(H130 = "","",YEAR(H130))</f>
        <v/>
      </c>
      <c r="O130" s="6">
        <f t="shared" si="6"/>
        <v>123</v>
      </c>
      <c r="P130" s="6" t="str">
        <f t="shared" si="7"/>
        <v>-</v>
      </c>
      <c r="Q130" s="6">
        <f t="shared" si="8"/>
        <v>67</v>
      </c>
      <c r="R130" s="6" t="str">
        <f t="shared" si="9"/>
        <v>-</v>
      </c>
      <c r="S130" s="6" t="str">
        <f t="shared" si="10"/>
        <v>-</v>
      </c>
    </row>
    <row r="131" spans="1:19" ht="14.1" customHeight="1" thickBot="1" x14ac:dyDescent="0.25">
      <c r="A131" s="4" t="str">
        <f>"1132"</f>
        <v>1132</v>
      </c>
      <c r="B131" s="5">
        <v>40806</v>
      </c>
      <c r="C131" s="4"/>
      <c r="D131" s="4"/>
      <c r="E131" s="4"/>
      <c r="F131" s="4"/>
      <c r="G131" s="4"/>
      <c r="H131" s="4"/>
      <c r="I131" s="4" t="s">
        <v>239</v>
      </c>
      <c r="J131" s="4" t="s">
        <v>240</v>
      </c>
      <c r="K131" s="4" t="s">
        <v>39</v>
      </c>
      <c r="L131" s="4" t="str">
        <f>"0"</f>
        <v>0</v>
      </c>
      <c r="M131" s="3" t="str">
        <f>IF(H131 = "","",MONTH(H131))</f>
        <v/>
      </c>
      <c r="N131" s="3" t="str">
        <f>IF(H131 = "","",YEAR(H131))</f>
        <v/>
      </c>
      <c r="O131" s="6" t="str">
        <f t="shared" si="6"/>
        <v>-</v>
      </c>
      <c r="P131" s="6" t="str">
        <f t="shared" si="7"/>
        <v>-</v>
      </c>
      <c r="Q131" s="6" t="str">
        <f t="shared" si="8"/>
        <v>-</v>
      </c>
      <c r="R131" s="6" t="str">
        <f t="shared" si="9"/>
        <v>-</v>
      </c>
      <c r="S131" s="6" t="str">
        <f t="shared" si="10"/>
        <v>-</v>
      </c>
    </row>
    <row r="132" spans="1:19" ht="14.1" customHeight="1" thickBot="1" x14ac:dyDescent="0.25">
      <c r="A132" s="4" t="str">
        <f>"1133"</f>
        <v>1133</v>
      </c>
      <c r="B132" s="5">
        <v>40803</v>
      </c>
      <c r="C132" s="4"/>
      <c r="D132" s="4" t="str">
        <f>"11011"</f>
        <v>11011</v>
      </c>
      <c r="E132" s="5">
        <v>40826</v>
      </c>
      <c r="F132" s="5">
        <v>40858</v>
      </c>
      <c r="G132" s="4"/>
      <c r="H132" s="4"/>
      <c r="I132" s="4" t="s">
        <v>241</v>
      </c>
      <c r="J132" s="4" t="s">
        <v>242</v>
      </c>
      <c r="K132" s="4" t="s">
        <v>90</v>
      </c>
      <c r="L132" s="4" t="s">
        <v>21</v>
      </c>
      <c r="M132" s="3" t="str">
        <f>IF(H132 = "","",MONTH(H132))</f>
        <v/>
      </c>
      <c r="N132" s="3" t="str">
        <f>IF(H132 = "","",YEAR(H132))</f>
        <v/>
      </c>
      <c r="O132" s="6">
        <f t="shared" si="6"/>
        <v>23</v>
      </c>
      <c r="P132" s="6" t="str">
        <f t="shared" si="7"/>
        <v>-</v>
      </c>
      <c r="Q132" s="6">
        <f t="shared" si="8"/>
        <v>31</v>
      </c>
      <c r="R132" s="6" t="str">
        <f t="shared" si="9"/>
        <v>-</v>
      </c>
      <c r="S132" s="6" t="str">
        <f t="shared" si="10"/>
        <v>-</v>
      </c>
    </row>
    <row r="133" spans="1:19" ht="14.1" customHeight="1" thickBot="1" x14ac:dyDescent="0.25">
      <c r="A133" s="4" t="str">
        <f>"1127"</f>
        <v>1127</v>
      </c>
      <c r="B133" s="5">
        <v>40798</v>
      </c>
      <c r="C133" s="4"/>
      <c r="D133" s="4"/>
      <c r="E133" s="4"/>
      <c r="F133" s="4"/>
      <c r="G133" s="4"/>
      <c r="H133" s="4"/>
      <c r="I133" s="4" t="s">
        <v>243</v>
      </c>
      <c r="J133" s="4" t="s">
        <v>240</v>
      </c>
      <c r="K133" s="4" t="s">
        <v>39</v>
      </c>
      <c r="L133" s="4" t="str">
        <f>"0"</f>
        <v>0</v>
      </c>
      <c r="M133" s="3" t="str">
        <f>IF(H133 = "","",MONTH(H133))</f>
        <v/>
      </c>
      <c r="N133" s="3" t="str">
        <f>IF(H133 = "","",YEAR(H133))</f>
        <v/>
      </c>
      <c r="O133" s="6" t="str">
        <f t="shared" si="6"/>
        <v>-</v>
      </c>
      <c r="P133" s="6" t="str">
        <f t="shared" si="7"/>
        <v>-</v>
      </c>
      <c r="Q133" s="6" t="str">
        <f t="shared" si="8"/>
        <v>-</v>
      </c>
      <c r="R133" s="6" t="str">
        <f t="shared" si="9"/>
        <v>-</v>
      </c>
      <c r="S133" s="6" t="str">
        <f t="shared" si="10"/>
        <v>-</v>
      </c>
    </row>
    <row r="134" spans="1:19" ht="14.1" customHeight="1" thickBot="1" x14ac:dyDescent="0.25">
      <c r="A134" s="4" t="str">
        <f>"1131"</f>
        <v>1131</v>
      </c>
      <c r="B134" s="5">
        <v>40798</v>
      </c>
      <c r="C134" s="4"/>
      <c r="D134" s="4" t="str">
        <f>"11009"</f>
        <v>11009</v>
      </c>
      <c r="E134" s="5">
        <v>40806</v>
      </c>
      <c r="F134" s="5">
        <v>40821</v>
      </c>
      <c r="G134" s="4"/>
      <c r="H134" s="5">
        <v>40821</v>
      </c>
      <c r="I134" s="4" t="s">
        <v>244</v>
      </c>
      <c r="J134" s="4" t="s">
        <v>240</v>
      </c>
      <c r="K134" s="4" t="s">
        <v>39</v>
      </c>
      <c r="L134" s="4" t="s">
        <v>21</v>
      </c>
      <c r="M134" s="3">
        <f>IF(H134 = "","",MONTH(H134))</f>
        <v>10</v>
      </c>
      <c r="N134" s="3">
        <f>IF(H134 = "","",YEAR(H134))</f>
        <v>2011</v>
      </c>
      <c r="O134" s="6">
        <f t="shared" si="6"/>
        <v>8</v>
      </c>
      <c r="P134" s="6" t="str">
        <f t="shared" si="7"/>
        <v>-</v>
      </c>
      <c r="Q134" s="6">
        <f t="shared" si="8"/>
        <v>15</v>
      </c>
      <c r="R134" s="6" t="str">
        <f t="shared" si="9"/>
        <v>-</v>
      </c>
      <c r="S134" s="6">
        <f t="shared" si="10"/>
        <v>15</v>
      </c>
    </row>
    <row r="135" spans="1:19" ht="14.1" customHeight="1" thickBot="1" x14ac:dyDescent="0.25">
      <c r="A135" s="4" t="str">
        <f>"1128"</f>
        <v>1128</v>
      </c>
      <c r="B135" s="5">
        <v>40798</v>
      </c>
      <c r="C135" s="4"/>
      <c r="D135" s="4" t="str">
        <f>"12012"</f>
        <v>12012</v>
      </c>
      <c r="E135" s="5">
        <v>41093</v>
      </c>
      <c r="F135" s="5">
        <v>41178</v>
      </c>
      <c r="G135" s="4"/>
      <c r="H135" s="4"/>
      <c r="I135" s="4" t="s">
        <v>245</v>
      </c>
      <c r="J135" s="4" t="s">
        <v>246</v>
      </c>
      <c r="K135" s="4" t="s">
        <v>118</v>
      </c>
      <c r="L135" s="4" t="s">
        <v>86</v>
      </c>
      <c r="M135" s="3" t="str">
        <f>IF(H135 = "","",MONTH(H135))</f>
        <v/>
      </c>
      <c r="N135" s="3" t="str">
        <f>IF(H135 = "","",YEAR(H135))</f>
        <v/>
      </c>
      <c r="O135" s="6">
        <f t="shared" ref="O135:O198" si="11">IF(B135="","-",IF(E135="","-",DAYS360(B135,E135)))</f>
        <v>291</v>
      </c>
      <c r="P135" s="6" t="str">
        <f t="shared" ref="P135:P198" si="12">IF(C135="","-",IF(E135="","-",DAYS360(C135,E135)))</f>
        <v>-</v>
      </c>
      <c r="Q135" s="6">
        <f t="shared" ref="Q135:Q198" si="13">IF(E135="","-",IF(F135="","-",DAYS360(E135,F135)))</f>
        <v>83</v>
      </c>
      <c r="R135" s="6" t="str">
        <f t="shared" ref="R135:R198" si="14">IF(E135="","-",IF(G135="","-",DAYS360(E135,G135)))</f>
        <v>-</v>
      </c>
      <c r="S135" s="6" t="str">
        <f t="shared" ref="S135:S198" si="15">IF(E135="","-",IF(H135="","-",DAYS360(E135,H135)))</f>
        <v>-</v>
      </c>
    </row>
    <row r="136" spans="1:19" ht="14.1" customHeight="1" thickBot="1" x14ac:dyDescent="0.25">
      <c r="A136" s="4" t="str">
        <f>"1129"</f>
        <v>1129</v>
      </c>
      <c r="B136" s="5">
        <v>40737</v>
      </c>
      <c r="C136" s="4"/>
      <c r="D136" s="4"/>
      <c r="E136" s="4"/>
      <c r="F136" s="4"/>
      <c r="G136" s="4"/>
      <c r="H136" s="4"/>
      <c r="I136" s="4" t="s">
        <v>247</v>
      </c>
      <c r="J136" s="4" t="s">
        <v>248</v>
      </c>
      <c r="K136" s="4" t="s">
        <v>25</v>
      </c>
      <c r="L136" s="4" t="str">
        <f>"0"</f>
        <v>0</v>
      </c>
      <c r="M136" s="3" t="str">
        <f>IF(H136 = "","",MONTH(H136))</f>
        <v/>
      </c>
      <c r="N136" s="3" t="str">
        <f>IF(H136 = "","",YEAR(H136))</f>
        <v/>
      </c>
      <c r="O136" s="6" t="str">
        <f t="shared" si="11"/>
        <v>-</v>
      </c>
      <c r="P136" s="6" t="str">
        <f t="shared" si="12"/>
        <v>-</v>
      </c>
      <c r="Q136" s="6" t="str">
        <f t="shared" si="13"/>
        <v>-</v>
      </c>
      <c r="R136" s="6" t="str">
        <f t="shared" si="14"/>
        <v>-</v>
      </c>
      <c r="S136" s="6" t="str">
        <f t="shared" si="15"/>
        <v>-</v>
      </c>
    </row>
    <row r="137" spans="1:19" ht="14.1" customHeight="1" thickBot="1" x14ac:dyDescent="0.25">
      <c r="A137" s="4" t="str">
        <f>"1129"</f>
        <v>1129</v>
      </c>
      <c r="B137" s="5">
        <v>40737</v>
      </c>
      <c r="C137" s="4"/>
      <c r="D137" s="4" t="str">
        <f>"11013"</f>
        <v>11013</v>
      </c>
      <c r="E137" s="5">
        <v>40862</v>
      </c>
      <c r="F137" s="5">
        <v>40907</v>
      </c>
      <c r="G137" s="5">
        <v>41032</v>
      </c>
      <c r="H137" s="5">
        <v>41162</v>
      </c>
      <c r="I137" s="4" t="s">
        <v>249</v>
      </c>
      <c r="J137" s="4" t="s">
        <v>250</v>
      </c>
      <c r="K137" s="4" t="s">
        <v>39</v>
      </c>
      <c r="L137" s="4" t="s">
        <v>162</v>
      </c>
      <c r="M137" s="3">
        <f>IF(H137 = "","",MONTH(H137))</f>
        <v>9</v>
      </c>
      <c r="N137" s="3">
        <f>IF(H137 = "","",YEAR(H137))</f>
        <v>2012</v>
      </c>
      <c r="O137" s="6">
        <f t="shared" si="11"/>
        <v>122</v>
      </c>
      <c r="P137" s="6" t="str">
        <f t="shared" si="12"/>
        <v>-</v>
      </c>
      <c r="Q137" s="6">
        <f t="shared" si="13"/>
        <v>45</v>
      </c>
      <c r="R137" s="6">
        <f t="shared" si="14"/>
        <v>168</v>
      </c>
      <c r="S137" s="6">
        <f t="shared" si="15"/>
        <v>295</v>
      </c>
    </row>
    <row r="138" spans="1:19" ht="14.1" customHeight="1" thickBot="1" x14ac:dyDescent="0.25">
      <c r="A138" s="4" t="str">
        <f>"1219"</f>
        <v>1219</v>
      </c>
      <c r="B138" s="5">
        <v>40734</v>
      </c>
      <c r="C138" s="4"/>
      <c r="D138" s="4" t="str">
        <f>"12015"</f>
        <v>12015</v>
      </c>
      <c r="E138" s="5">
        <v>41168</v>
      </c>
      <c r="F138" s="5">
        <v>41205</v>
      </c>
      <c r="G138" s="5">
        <v>41477</v>
      </c>
      <c r="H138" s="5">
        <v>41487</v>
      </c>
      <c r="I138" s="4" t="s">
        <v>251</v>
      </c>
      <c r="J138" s="4" t="s">
        <v>252</v>
      </c>
      <c r="K138" s="4" t="s">
        <v>39</v>
      </c>
      <c r="L138" s="4" t="s">
        <v>21</v>
      </c>
      <c r="M138" s="3">
        <f>IF(H138 = "","",MONTH(H138))</f>
        <v>8</v>
      </c>
      <c r="N138" s="3">
        <f>IF(H138 = "","",YEAR(H138))</f>
        <v>2013</v>
      </c>
      <c r="O138" s="6">
        <f t="shared" si="11"/>
        <v>426</v>
      </c>
      <c r="P138" s="6" t="str">
        <f t="shared" si="12"/>
        <v>-</v>
      </c>
      <c r="Q138" s="6">
        <f t="shared" si="13"/>
        <v>37</v>
      </c>
      <c r="R138" s="6">
        <f t="shared" si="14"/>
        <v>306</v>
      </c>
      <c r="S138" s="6">
        <f t="shared" si="15"/>
        <v>315</v>
      </c>
    </row>
    <row r="139" spans="1:19" ht="14.1" customHeight="1" thickBot="1" x14ac:dyDescent="0.25">
      <c r="A139" s="4" t="str">
        <f>"1125"</f>
        <v>1125</v>
      </c>
      <c r="B139" s="5">
        <v>40730</v>
      </c>
      <c r="C139" s="4"/>
      <c r="D139" s="4"/>
      <c r="E139" s="4"/>
      <c r="F139" s="4"/>
      <c r="G139" s="4"/>
      <c r="H139" s="4"/>
      <c r="I139" s="4"/>
      <c r="J139" s="4" t="s">
        <v>240</v>
      </c>
      <c r="K139" s="4" t="s">
        <v>39</v>
      </c>
      <c r="L139" s="4" t="str">
        <f>"0"</f>
        <v>0</v>
      </c>
      <c r="M139" s="3" t="str">
        <f>IF(H139 = "","",MONTH(H139))</f>
        <v/>
      </c>
      <c r="N139" s="3" t="str">
        <f>IF(H139 = "","",YEAR(H139))</f>
        <v/>
      </c>
      <c r="O139" s="6" t="str">
        <f t="shared" si="11"/>
        <v>-</v>
      </c>
      <c r="P139" s="6" t="str">
        <f t="shared" si="12"/>
        <v>-</v>
      </c>
      <c r="Q139" s="6" t="str">
        <f t="shared" si="13"/>
        <v>-</v>
      </c>
      <c r="R139" s="6" t="str">
        <f t="shared" si="14"/>
        <v>-</v>
      </c>
      <c r="S139" s="6" t="str">
        <f t="shared" si="15"/>
        <v>-</v>
      </c>
    </row>
    <row r="140" spans="1:19" ht="14.1" customHeight="1" thickBot="1" x14ac:dyDescent="0.25">
      <c r="A140" s="4" t="str">
        <f>"1124"</f>
        <v>1124</v>
      </c>
      <c r="B140" s="5">
        <v>40723</v>
      </c>
      <c r="C140" s="4"/>
      <c r="D140" s="4"/>
      <c r="E140" s="4"/>
      <c r="F140" s="4"/>
      <c r="G140" s="4"/>
      <c r="H140" s="4"/>
      <c r="I140" s="4" t="s">
        <v>253</v>
      </c>
      <c r="J140" s="4" t="s">
        <v>254</v>
      </c>
      <c r="K140" s="4" t="s">
        <v>39</v>
      </c>
      <c r="L140" s="4" t="str">
        <f>"0"</f>
        <v>0</v>
      </c>
      <c r="M140" s="3" t="str">
        <f>IF(H140 = "","",MONTH(H140))</f>
        <v/>
      </c>
      <c r="N140" s="3" t="str">
        <f>IF(H140 = "","",YEAR(H140))</f>
        <v/>
      </c>
      <c r="O140" s="6" t="str">
        <f t="shared" si="11"/>
        <v>-</v>
      </c>
      <c r="P140" s="6" t="str">
        <f t="shared" si="12"/>
        <v>-</v>
      </c>
      <c r="Q140" s="6" t="str">
        <f t="shared" si="13"/>
        <v>-</v>
      </c>
      <c r="R140" s="6" t="str">
        <f t="shared" si="14"/>
        <v>-</v>
      </c>
      <c r="S140" s="6" t="str">
        <f t="shared" si="15"/>
        <v>-</v>
      </c>
    </row>
    <row r="141" spans="1:19" ht="14.1" customHeight="1" thickBot="1" x14ac:dyDescent="0.25">
      <c r="A141" s="4" t="str">
        <f>"1122"</f>
        <v>1122</v>
      </c>
      <c r="B141" s="5">
        <v>40715</v>
      </c>
      <c r="C141" s="4"/>
      <c r="D141" s="4" t="str">
        <f>"11006"</f>
        <v>11006</v>
      </c>
      <c r="E141" s="4"/>
      <c r="F141" s="4"/>
      <c r="G141" s="4"/>
      <c r="H141" s="4"/>
      <c r="I141" s="4" t="s">
        <v>255</v>
      </c>
      <c r="J141" s="4" t="s">
        <v>256</v>
      </c>
      <c r="K141" s="4" t="s">
        <v>39</v>
      </c>
      <c r="L141" s="4" t="s">
        <v>230</v>
      </c>
      <c r="M141" s="3" t="str">
        <f>IF(H141 = "","",MONTH(H141))</f>
        <v/>
      </c>
      <c r="N141" s="3" t="str">
        <f>IF(H141 = "","",YEAR(H141))</f>
        <v/>
      </c>
      <c r="O141" s="6" t="str">
        <f t="shared" si="11"/>
        <v>-</v>
      </c>
      <c r="P141" s="6" t="str">
        <f t="shared" si="12"/>
        <v>-</v>
      </c>
      <c r="Q141" s="6" t="str">
        <f t="shared" si="13"/>
        <v>-</v>
      </c>
      <c r="R141" s="6" t="str">
        <f t="shared" si="14"/>
        <v>-</v>
      </c>
      <c r="S141" s="6" t="str">
        <f t="shared" si="15"/>
        <v>-</v>
      </c>
    </row>
    <row r="142" spans="1:19" ht="14.1" customHeight="1" thickBot="1" x14ac:dyDescent="0.25">
      <c r="A142" s="4" t="str">
        <f>"1123"</f>
        <v>1123</v>
      </c>
      <c r="B142" s="5">
        <v>40715</v>
      </c>
      <c r="C142" s="4"/>
      <c r="D142" s="4"/>
      <c r="E142" s="4"/>
      <c r="F142" s="4"/>
      <c r="G142" s="4"/>
      <c r="H142" s="4"/>
      <c r="I142" s="4" t="s">
        <v>257</v>
      </c>
      <c r="J142" s="4" t="s">
        <v>258</v>
      </c>
      <c r="K142" s="4" t="s">
        <v>39</v>
      </c>
      <c r="L142" s="4" t="str">
        <f>"0"</f>
        <v>0</v>
      </c>
      <c r="M142" s="3" t="str">
        <f>IF(H142 = "","",MONTH(H142))</f>
        <v/>
      </c>
      <c r="N142" s="3" t="str">
        <f>IF(H142 = "","",YEAR(H142))</f>
        <v/>
      </c>
      <c r="O142" s="6" t="str">
        <f t="shared" si="11"/>
        <v>-</v>
      </c>
      <c r="P142" s="6" t="str">
        <f t="shared" si="12"/>
        <v>-</v>
      </c>
      <c r="Q142" s="6" t="str">
        <f t="shared" si="13"/>
        <v>-</v>
      </c>
      <c r="R142" s="6" t="str">
        <f t="shared" si="14"/>
        <v>-</v>
      </c>
      <c r="S142" s="6" t="str">
        <f t="shared" si="15"/>
        <v>-</v>
      </c>
    </row>
    <row r="143" spans="1:19" ht="14.1" customHeight="1" thickBot="1" x14ac:dyDescent="0.25">
      <c r="A143" s="4" t="str">
        <f>"1121"</f>
        <v>1121</v>
      </c>
      <c r="B143" s="5">
        <v>40711</v>
      </c>
      <c r="C143" s="4"/>
      <c r="D143" s="4" t="str">
        <f>"11012"</f>
        <v>11012</v>
      </c>
      <c r="E143" s="5">
        <v>40819</v>
      </c>
      <c r="F143" s="5">
        <v>40856</v>
      </c>
      <c r="G143" s="4"/>
      <c r="H143" s="5">
        <v>40856</v>
      </c>
      <c r="I143" s="4" t="s">
        <v>259</v>
      </c>
      <c r="J143" s="4" t="s">
        <v>260</v>
      </c>
      <c r="K143" s="4" t="s">
        <v>39</v>
      </c>
      <c r="L143" s="4" t="s">
        <v>21</v>
      </c>
      <c r="M143" s="3">
        <f>IF(H143 = "","",MONTH(H143))</f>
        <v>11</v>
      </c>
      <c r="N143" s="3">
        <f>IF(H143 = "","",YEAR(H143))</f>
        <v>2011</v>
      </c>
      <c r="O143" s="6">
        <f t="shared" si="11"/>
        <v>106</v>
      </c>
      <c r="P143" s="6" t="str">
        <f t="shared" si="12"/>
        <v>-</v>
      </c>
      <c r="Q143" s="6">
        <f t="shared" si="13"/>
        <v>36</v>
      </c>
      <c r="R143" s="6" t="str">
        <f t="shared" si="14"/>
        <v>-</v>
      </c>
      <c r="S143" s="6">
        <f t="shared" si="15"/>
        <v>36</v>
      </c>
    </row>
    <row r="144" spans="1:19" ht="14.1" customHeight="1" thickBot="1" x14ac:dyDescent="0.25">
      <c r="A144" s="4" t="str">
        <f>"1120"</f>
        <v>1120</v>
      </c>
      <c r="B144" s="5">
        <v>40709</v>
      </c>
      <c r="C144" s="4"/>
      <c r="D144" s="4" t="str">
        <f>"12016"</f>
        <v>12016</v>
      </c>
      <c r="E144" s="5">
        <v>41171</v>
      </c>
      <c r="F144" s="5">
        <v>41179</v>
      </c>
      <c r="G144" s="4"/>
      <c r="H144" s="4"/>
      <c r="I144" s="4" t="s">
        <v>261</v>
      </c>
      <c r="J144" s="4" t="s">
        <v>153</v>
      </c>
      <c r="K144" s="4" t="s">
        <v>39</v>
      </c>
      <c r="L144" s="4" t="s">
        <v>75</v>
      </c>
      <c r="M144" s="3" t="str">
        <f>IF(H144 = "","",MONTH(H144))</f>
        <v/>
      </c>
      <c r="N144" s="3" t="str">
        <f>IF(H144 = "","",YEAR(H144))</f>
        <v/>
      </c>
      <c r="O144" s="6">
        <f t="shared" si="11"/>
        <v>454</v>
      </c>
      <c r="P144" s="6" t="str">
        <f t="shared" si="12"/>
        <v>-</v>
      </c>
      <c r="Q144" s="6">
        <f t="shared" si="13"/>
        <v>8</v>
      </c>
      <c r="R144" s="6" t="str">
        <f t="shared" si="14"/>
        <v>-</v>
      </c>
      <c r="S144" s="6" t="str">
        <f t="shared" si="15"/>
        <v>-</v>
      </c>
    </row>
    <row r="145" spans="1:19" ht="14.1" customHeight="1" thickBot="1" x14ac:dyDescent="0.25">
      <c r="A145" s="4" t="str">
        <f>"1119"</f>
        <v>1119</v>
      </c>
      <c r="B145" s="5">
        <v>40709</v>
      </c>
      <c r="C145" s="4"/>
      <c r="D145" s="4"/>
      <c r="E145" s="4"/>
      <c r="F145" s="4"/>
      <c r="G145" s="4"/>
      <c r="H145" s="4"/>
      <c r="I145" s="4" t="s">
        <v>262</v>
      </c>
      <c r="J145" s="4" t="s">
        <v>263</v>
      </c>
      <c r="K145" s="4" t="s">
        <v>39</v>
      </c>
      <c r="L145" s="4" t="str">
        <f>"0"</f>
        <v>0</v>
      </c>
      <c r="M145" s="3" t="str">
        <f>IF(H145 = "","",MONTH(H145))</f>
        <v/>
      </c>
      <c r="N145" s="3" t="str">
        <f>IF(H145 = "","",YEAR(H145))</f>
        <v/>
      </c>
      <c r="O145" s="6" t="str">
        <f t="shared" si="11"/>
        <v>-</v>
      </c>
      <c r="P145" s="6" t="str">
        <f t="shared" si="12"/>
        <v>-</v>
      </c>
      <c r="Q145" s="6" t="str">
        <f t="shared" si="13"/>
        <v>-</v>
      </c>
      <c r="R145" s="6" t="str">
        <f t="shared" si="14"/>
        <v>-</v>
      </c>
      <c r="S145" s="6" t="str">
        <f t="shared" si="15"/>
        <v>-</v>
      </c>
    </row>
    <row r="146" spans="1:19" ht="14.1" customHeight="1" thickBot="1" x14ac:dyDescent="0.25">
      <c r="A146" s="4" t="str">
        <f>"1118"</f>
        <v>1118</v>
      </c>
      <c r="B146" s="5">
        <v>40704</v>
      </c>
      <c r="C146" s="4"/>
      <c r="D146" s="4"/>
      <c r="E146" s="4"/>
      <c r="F146" s="4"/>
      <c r="G146" s="4"/>
      <c r="H146" s="4"/>
      <c r="I146" s="4" t="s">
        <v>264</v>
      </c>
      <c r="J146" s="4" t="s">
        <v>148</v>
      </c>
      <c r="K146" s="4" t="s">
        <v>39</v>
      </c>
      <c r="L146" s="4" t="str">
        <f>"0"</f>
        <v>0</v>
      </c>
      <c r="M146" s="3" t="str">
        <f>IF(H146 = "","",MONTH(H146))</f>
        <v/>
      </c>
      <c r="N146" s="3" t="str">
        <f>IF(H146 = "","",YEAR(H146))</f>
        <v/>
      </c>
      <c r="O146" s="6" t="str">
        <f t="shared" si="11"/>
        <v>-</v>
      </c>
      <c r="P146" s="6" t="str">
        <f t="shared" si="12"/>
        <v>-</v>
      </c>
      <c r="Q146" s="6" t="str">
        <f t="shared" si="13"/>
        <v>-</v>
      </c>
      <c r="R146" s="6" t="str">
        <f t="shared" si="14"/>
        <v>-</v>
      </c>
      <c r="S146" s="6" t="str">
        <f t="shared" si="15"/>
        <v>-</v>
      </c>
    </row>
    <row r="147" spans="1:19" ht="14.1" customHeight="1" thickBot="1" x14ac:dyDescent="0.25">
      <c r="A147" s="4" t="str">
        <f>"1117"</f>
        <v>1117</v>
      </c>
      <c r="B147" s="5">
        <v>40703</v>
      </c>
      <c r="C147" s="4"/>
      <c r="D147" s="4"/>
      <c r="E147" s="4"/>
      <c r="F147" s="4"/>
      <c r="G147" s="4"/>
      <c r="H147" s="4"/>
      <c r="I147" s="4" t="s">
        <v>265</v>
      </c>
      <c r="J147" s="4" t="s">
        <v>254</v>
      </c>
      <c r="K147" s="4" t="s">
        <v>39</v>
      </c>
      <c r="L147" s="4" t="str">
        <f>"0"</f>
        <v>0</v>
      </c>
      <c r="M147" s="3" t="str">
        <f>IF(H147 = "","",MONTH(H147))</f>
        <v/>
      </c>
      <c r="N147" s="3" t="str">
        <f>IF(H147 = "","",YEAR(H147))</f>
        <v/>
      </c>
      <c r="O147" s="6" t="str">
        <f t="shared" si="11"/>
        <v>-</v>
      </c>
      <c r="P147" s="6" t="str">
        <f t="shared" si="12"/>
        <v>-</v>
      </c>
      <c r="Q147" s="6" t="str">
        <f t="shared" si="13"/>
        <v>-</v>
      </c>
      <c r="R147" s="6" t="str">
        <f t="shared" si="14"/>
        <v>-</v>
      </c>
      <c r="S147" s="6" t="str">
        <f t="shared" si="15"/>
        <v>-</v>
      </c>
    </row>
    <row r="148" spans="1:19" ht="14.1" customHeight="1" thickBot="1" x14ac:dyDescent="0.25">
      <c r="A148" s="4" t="str">
        <f>"1115"</f>
        <v>1115</v>
      </c>
      <c r="B148" s="5">
        <v>40694</v>
      </c>
      <c r="C148" s="4"/>
      <c r="D148" s="4"/>
      <c r="E148" s="4"/>
      <c r="F148" s="4"/>
      <c r="G148" s="4"/>
      <c r="H148" s="4"/>
      <c r="I148" s="4" t="s">
        <v>266</v>
      </c>
      <c r="J148" s="4" t="s">
        <v>267</v>
      </c>
      <c r="K148" s="4" t="s">
        <v>39</v>
      </c>
      <c r="L148" s="4" t="str">
        <f>"0"</f>
        <v>0</v>
      </c>
      <c r="M148" s="3" t="str">
        <f>IF(H148 = "","",MONTH(H148))</f>
        <v/>
      </c>
      <c r="N148" s="3" t="str">
        <f>IF(H148 = "","",YEAR(H148))</f>
        <v/>
      </c>
      <c r="O148" s="6" t="str">
        <f t="shared" si="11"/>
        <v>-</v>
      </c>
      <c r="P148" s="6" t="str">
        <f t="shared" si="12"/>
        <v>-</v>
      </c>
      <c r="Q148" s="6" t="str">
        <f t="shared" si="13"/>
        <v>-</v>
      </c>
      <c r="R148" s="6" t="str">
        <f t="shared" si="14"/>
        <v>-</v>
      </c>
      <c r="S148" s="6" t="str">
        <f t="shared" si="15"/>
        <v>-</v>
      </c>
    </row>
    <row r="149" spans="1:19" ht="14.1" customHeight="1" thickBot="1" x14ac:dyDescent="0.25">
      <c r="A149" s="4" t="str">
        <f>"1116"</f>
        <v>1116</v>
      </c>
      <c r="B149" s="5">
        <v>40690</v>
      </c>
      <c r="C149" s="5">
        <v>41345</v>
      </c>
      <c r="D149" s="4" t="str">
        <f>"11007"</f>
        <v>11007</v>
      </c>
      <c r="E149" s="5">
        <v>40833</v>
      </c>
      <c r="F149" s="5">
        <v>40877</v>
      </c>
      <c r="G149" s="4"/>
      <c r="H149" s="5">
        <v>41883</v>
      </c>
      <c r="I149" s="4" t="s">
        <v>268</v>
      </c>
      <c r="J149" s="4" t="s">
        <v>133</v>
      </c>
      <c r="K149" s="4" t="s">
        <v>39</v>
      </c>
      <c r="L149" s="4" t="s">
        <v>50</v>
      </c>
      <c r="M149" s="3">
        <f>IF(H149 = "","",MONTH(H149))</f>
        <v>9</v>
      </c>
      <c r="N149" s="3">
        <f>IF(H149 = "","",YEAR(H149))</f>
        <v>2014</v>
      </c>
      <c r="O149" s="6">
        <f t="shared" si="11"/>
        <v>140</v>
      </c>
      <c r="P149" s="6">
        <f t="shared" si="12"/>
        <v>-505</v>
      </c>
      <c r="Q149" s="6">
        <f t="shared" si="13"/>
        <v>43</v>
      </c>
      <c r="R149" s="6" t="str">
        <f t="shared" si="14"/>
        <v>-</v>
      </c>
      <c r="S149" s="6">
        <f t="shared" si="15"/>
        <v>1034</v>
      </c>
    </row>
    <row r="150" spans="1:19" ht="14.1" customHeight="1" thickBot="1" x14ac:dyDescent="0.25">
      <c r="A150" s="4" t="str">
        <f>"1111"</f>
        <v>1111</v>
      </c>
      <c r="B150" s="5">
        <v>40675</v>
      </c>
      <c r="C150" s="4"/>
      <c r="D150" s="4" t="str">
        <f>"11003"</f>
        <v>11003</v>
      </c>
      <c r="E150" s="5">
        <v>40701</v>
      </c>
      <c r="F150" s="4"/>
      <c r="G150" s="4"/>
      <c r="H150" s="4"/>
      <c r="I150" s="4" t="s">
        <v>269</v>
      </c>
      <c r="J150" s="4" t="s">
        <v>270</v>
      </c>
      <c r="K150" s="4" t="s">
        <v>39</v>
      </c>
      <c r="L150" s="4" t="s">
        <v>50</v>
      </c>
      <c r="M150" s="3" t="str">
        <f>IF(H150 = "","",MONTH(H150))</f>
        <v/>
      </c>
      <c r="N150" s="3" t="str">
        <f>IF(H150 = "","",YEAR(H150))</f>
        <v/>
      </c>
      <c r="O150" s="6">
        <f t="shared" si="11"/>
        <v>25</v>
      </c>
      <c r="P150" s="6" t="str">
        <f t="shared" si="12"/>
        <v>-</v>
      </c>
      <c r="Q150" s="6" t="str">
        <f t="shared" si="13"/>
        <v>-</v>
      </c>
      <c r="R150" s="6" t="str">
        <f t="shared" si="14"/>
        <v>-</v>
      </c>
      <c r="S150" s="6" t="str">
        <f t="shared" si="15"/>
        <v>-</v>
      </c>
    </row>
    <row r="151" spans="1:19" ht="14.1" customHeight="1" thickBot="1" x14ac:dyDescent="0.25">
      <c r="A151" s="4" t="str">
        <f>"1113"</f>
        <v>1113</v>
      </c>
      <c r="B151" s="5">
        <v>40675</v>
      </c>
      <c r="C151" s="5">
        <v>41218</v>
      </c>
      <c r="D151" s="4" t="str">
        <f>"13001"</f>
        <v>13001</v>
      </c>
      <c r="E151" s="5">
        <v>41277</v>
      </c>
      <c r="F151" s="4"/>
      <c r="G151" s="5">
        <v>41659</v>
      </c>
      <c r="H151" s="5">
        <v>41697</v>
      </c>
      <c r="I151" s="4" t="s">
        <v>271</v>
      </c>
      <c r="J151" s="4" t="s">
        <v>272</v>
      </c>
      <c r="K151" s="4" t="s">
        <v>39</v>
      </c>
      <c r="L151" s="4" t="s">
        <v>21</v>
      </c>
      <c r="M151" s="3">
        <f>IF(H151 = "","",MONTH(H151))</f>
        <v>2</v>
      </c>
      <c r="N151" s="3">
        <f>IF(H151 = "","",YEAR(H151))</f>
        <v>2014</v>
      </c>
      <c r="O151" s="6">
        <f t="shared" si="11"/>
        <v>591</v>
      </c>
      <c r="P151" s="6">
        <f t="shared" si="12"/>
        <v>58</v>
      </c>
      <c r="Q151" s="6" t="str">
        <f t="shared" si="13"/>
        <v>-</v>
      </c>
      <c r="R151" s="6">
        <f t="shared" si="14"/>
        <v>377</v>
      </c>
      <c r="S151" s="6">
        <f t="shared" si="15"/>
        <v>414</v>
      </c>
    </row>
    <row r="152" spans="1:19" ht="14.1" customHeight="1" thickBot="1" x14ac:dyDescent="0.25">
      <c r="A152" s="4" t="str">
        <f>"1114"</f>
        <v>1114</v>
      </c>
      <c r="B152" s="5">
        <v>40667</v>
      </c>
      <c r="C152" s="4"/>
      <c r="D152" s="4"/>
      <c r="E152" s="4"/>
      <c r="F152" s="4"/>
      <c r="G152" s="4"/>
      <c r="H152" s="4"/>
      <c r="I152" s="4" t="s">
        <v>273</v>
      </c>
      <c r="J152" s="4" t="s">
        <v>274</v>
      </c>
      <c r="K152" s="4" t="s">
        <v>39</v>
      </c>
      <c r="L152" s="4" t="str">
        <f>"0"</f>
        <v>0</v>
      </c>
      <c r="M152" s="3" t="str">
        <f>IF(H152 = "","",MONTH(H152))</f>
        <v/>
      </c>
      <c r="N152" s="3" t="str">
        <f>IF(H152 = "","",YEAR(H152))</f>
        <v/>
      </c>
      <c r="O152" s="6" t="str">
        <f t="shared" si="11"/>
        <v>-</v>
      </c>
      <c r="P152" s="6" t="str">
        <f t="shared" si="12"/>
        <v>-</v>
      </c>
      <c r="Q152" s="6" t="str">
        <f t="shared" si="13"/>
        <v>-</v>
      </c>
      <c r="R152" s="6" t="str">
        <f t="shared" si="14"/>
        <v>-</v>
      </c>
      <c r="S152" s="6" t="str">
        <f t="shared" si="15"/>
        <v>-</v>
      </c>
    </row>
    <row r="153" spans="1:19" ht="14.1" customHeight="1" thickBot="1" x14ac:dyDescent="0.25">
      <c r="A153" s="4" t="str">
        <f>"1112"</f>
        <v>1112</v>
      </c>
      <c r="B153" s="5">
        <v>40665</v>
      </c>
      <c r="C153" s="4"/>
      <c r="D153" s="4"/>
      <c r="E153" s="4"/>
      <c r="F153" s="4"/>
      <c r="G153" s="4"/>
      <c r="H153" s="4"/>
      <c r="I153" s="4" t="s">
        <v>275</v>
      </c>
      <c r="J153" s="4" t="s">
        <v>276</v>
      </c>
      <c r="K153" s="4" t="s">
        <v>277</v>
      </c>
      <c r="L153" s="4" t="str">
        <f>"0"</f>
        <v>0</v>
      </c>
      <c r="M153" s="3" t="str">
        <f>IF(H153 = "","",MONTH(H153))</f>
        <v/>
      </c>
      <c r="N153" s="3" t="str">
        <f>IF(H153 = "","",YEAR(H153))</f>
        <v/>
      </c>
      <c r="O153" s="6" t="str">
        <f t="shared" si="11"/>
        <v>-</v>
      </c>
      <c r="P153" s="6" t="str">
        <f t="shared" si="12"/>
        <v>-</v>
      </c>
      <c r="Q153" s="6" t="str">
        <f t="shared" si="13"/>
        <v>-</v>
      </c>
      <c r="R153" s="6" t="str">
        <f t="shared" si="14"/>
        <v>-</v>
      </c>
      <c r="S153" s="6" t="str">
        <f t="shared" si="15"/>
        <v>-</v>
      </c>
    </row>
    <row r="154" spans="1:19" ht="14.1" customHeight="1" thickBot="1" x14ac:dyDescent="0.25">
      <c r="A154" s="4" t="str">
        <f>"1126"</f>
        <v>1126</v>
      </c>
      <c r="B154" s="5">
        <v>40639</v>
      </c>
      <c r="C154" s="4"/>
      <c r="D154" s="4" t="str">
        <f>"11008"</f>
        <v>11008</v>
      </c>
      <c r="E154" s="5">
        <v>40687</v>
      </c>
      <c r="F154" s="5">
        <v>40749</v>
      </c>
      <c r="G154" s="4"/>
      <c r="H154" s="5">
        <v>40833</v>
      </c>
      <c r="I154" s="4" t="s">
        <v>278</v>
      </c>
      <c r="J154" s="4" t="s">
        <v>279</v>
      </c>
      <c r="K154" s="4"/>
      <c r="L154" s="4" t="s">
        <v>21</v>
      </c>
      <c r="M154" s="3">
        <f>IF(H154 = "","",MONTH(H154))</f>
        <v>10</v>
      </c>
      <c r="N154" s="3">
        <f>IF(H154 = "","",YEAR(H154))</f>
        <v>2011</v>
      </c>
      <c r="O154" s="6">
        <f t="shared" si="11"/>
        <v>48</v>
      </c>
      <c r="P154" s="6" t="str">
        <f t="shared" si="12"/>
        <v>-</v>
      </c>
      <c r="Q154" s="6">
        <f t="shared" si="13"/>
        <v>61</v>
      </c>
      <c r="R154" s="6" t="str">
        <f t="shared" si="14"/>
        <v>-</v>
      </c>
      <c r="S154" s="6">
        <f t="shared" si="15"/>
        <v>143</v>
      </c>
    </row>
    <row r="155" spans="1:19" ht="14.1" customHeight="1" thickBot="1" x14ac:dyDescent="0.25">
      <c r="A155" s="4" t="str">
        <f>"1110"</f>
        <v>1110</v>
      </c>
      <c r="B155" s="5">
        <v>40638</v>
      </c>
      <c r="C155" s="4"/>
      <c r="D155" s="4"/>
      <c r="E155" s="4"/>
      <c r="F155" s="4"/>
      <c r="G155" s="4"/>
      <c r="H155" s="4"/>
      <c r="I155" s="4" t="s">
        <v>280</v>
      </c>
      <c r="J155" s="4" t="s">
        <v>281</v>
      </c>
      <c r="K155" s="4" t="s">
        <v>39</v>
      </c>
      <c r="L155" s="4" t="str">
        <f>"0"</f>
        <v>0</v>
      </c>
      <c r="M155" s="3" t="str">
        <f>IF(H155 = "","",MONTH(H155))</f>
        <v/>
      </c>
      <c r="N155" s="3" t="str">
        <f>IF(H155 = "","",YEAR(H155))</f>
        <v/>
      </c>
      <c r="O155" s="6" t="str">
        <f t="shared" si="11"/>
        <v>-</v>
      </c>
      <c r="P155" s="6" t="str">
        <f t="shared" si="12"/>
        <v>-</v>
      </c>
      <c r="Q155" s="6" t="str">
        <f t="shared" si="13"/>
        <v>-</v>
      </c>
      <c r="R155" s="6" t="str">
        <f t="shared" si="14"/>
        <v>-</v>
      </c>
      <c r="S155" s="6" t="str">
        <f t="shared" si="15"/>
        <v>-</v>
      </c>
    </row>
    <row r="156" spans="1:19" ht="14.1" customHeight="1" thickBot="1" x14ac:dyDescent="0.25">
      <c r="A156" s="4" t="str">
        <f>"1109"</f>
        <v>1109</v>
      </c>
      <c r="B156" s="5">
        <v>40638</v>
      </c>
      <c r="C156" s="4"/>
      <c r="D156" s="4" t="str">
        <f>"11005"</f>
        <v>11005</v>
      </c>
      <c r="E156" s="5">
        <v>40672</v>
      </c>
      <c r="F156" s="5">
        <v>40743</v>
      </c>
      <c r="G156" s="4"/>
      <c r="H156" s="5">
        <v>40819</v>
      </c>
      <c r="I156" s="4" t="s">
        <v>282</v>
      </c>
      <c r="J156" s="4" t="s">
        <v>283</v>
      </c>
      <c r="K156" s="4" t="s">
        <v>39</v>
      </c>
      <c r="L156" s="4" t="s">
        <v>21</v>
      </c>
      <c r="M156" s="3">
        <f>IF(H156 = "","",MONTH(H156))</f>
        <v>10</v>
      </c>
      <c r="N156" s="3">
        <f>IF(H156 = "","",YEAR(H156))</f>
        <v>2011</v>
      </c>
      <c r="O156" s="6">
        <f t="shared" si="11"/>
        <v>34</v>
      </c>
      <c r="P156" s="6" t="str">
        <f t="shared" si="12"/>
        <v>-</v>
      </c>
      <c r="Q156" s="6">
        <f t="shared" si="13"/>
        <v>70</v>
      </c>
      <c r="R156" s="6" t="str">
        <f t="shared" si="14"/>
        <v>-</v>
      </c>
      <c r="S156" s="6">
        <f t="shared" si="15"/>
        <v>144</v>
      </c>
    </row>
    <row r="157" spans="1:19" ht="14.1" customHeight="1" thickBot="1" x14ac:dyDescent="0.25">
      <c r="A157" s="4" t="str">
        <f>"1107"</f>
        <v>1107</v>
      </c>
      <c r="B157" s="5">
        <v>40625</v>
      </c>
      <c r="C157" s="4"/>
      <c r="D157" s="4"/>
      <c r="E157" s="4"/>
      <c r="F157" s="4"/>
      <c r="G157" s="4"/>
      <c r="H157" s="4"/>
      <c r="I157" s="4" t="s">
        <v>284</v>
      </c>
      <c r="J157" s="4" t="s">
        <v>133</v>
      </c>
      <c r="K157" s="4" t="s">
        <v>39</v>
      </c>
      <c r="L157" s="4" t="str">
        <f>"0"</f>
        <v>0</v>
      </c>
      <c r="M157" s="3" t="str">
        <f>IF(H157 = "","",MONTH(H157))</f>
        <v/>
      </c>
      <c r="N157" s="3" t="str">
        <f>IF(H157 = "","",YEAR(H157))</f>
        <v/>
      </c>
      <c r="O157" s="6" t="str">
        <f t="shared" si="11"/>
        <v>-</v>
      </c>
      <c r="P157" s="6" t="str">
        <f t="shared" si="12"/>
        <v>-</v>
      </c>
      <c r="Q157" s="6" t="str">
        <f t="shared" si="13"/>
        <v>-</v>
      </c>
      <c r="R157" s="6" t="str">
        <f t="shared" si="14"/>
        <v>-</v>
      </c>
      <c r="S157" s="6" t="str">
        <f t="shared" si="15"/>
        <v>-</v>
      </c>
    </row>
    <row r="158" spans="1:19" ht="14.1" customHeight="1" thickBot="1" x14ac:dyDescent="0.25">
      <c r="A158" s="4" t="str">
        <f>"1108"</f>
        <v>1108</v>
      </c>
      <c r="B158" s="5">
        <v>40613</v>
      </c>
      <c r="C158" s="4"/>
      <c r="D158" s="4"/>
      <c r="E158" s="4"/>
      <c r="F158" s="4"/>
      <c r="G158" s="4"/>
      <c r="H158" s="4"/>
      <c r="I158" s="4" t="s">
        <v>285</v>
      </c>
      <c r="J158" s="4" t="s">
        <v>227</v>
      </c>
      <c r="K158" s="4" t="s">
        <v>39</v>
      </c>
      <c r="L158" s="4" t="str">
        <f>"0"</f>
        <v>0</v>
      </c>
      <c r="M158" s="3" t="str">
        <f>IF(H158 = "","",MONTH(H158))</f>
        <v/>
      </c>
      <c r="N158" s="3" t="str">
        <f>IF(H158 = "","",YEAR(H158))</f>
        <v/>
      </c>
      <c r="O158" s="6" t="str">
        <f t="shared" si="11"/>
        <v>-</v>
      </c>
      <c r="P158" s="6" t="str">
        <f t="shared" si="12"/>
        <v>-</v>
      </c>
      <c r="Q158" s="6" t="str">
        <f t="shared" si="13"/>
        <v>-</v>
      </c>
      <c r="R158" s="6" t="str">
        <f t="shared" si="14"/>
        <v>-</v>
      </c>
      <c r="S158" s="6" t="str">
        <f t="shared" si="15"/>
        <v>-</v>
      </c>
    </row>
    <row r="159" spans="1:19" ht="14.1" customHeight="1" thickBot="1" x14ac:dyDescent="0.25">
      <c r="A159" s="4" t="str">
        <f>"1105"</f>
        <v>1105</v>
      </c>
      <c r="B159" s="5">
        <v>40610</v>
      </c>
      <c r="C159" s="4"/>
      <c r="D159" s="4" t="str">
        <f>"11002"</f>
        <v>11002</v>
      </c>
      <c r="E159" s="5">
        <v>40672</v>
      </c>
      <c r="F159" s="5">
        <v>40689</v>
      </c>
      <c r="G159" s="5">
        <v>40693</v>
      </c>
      <c r="H159" s="4"/>
      <c r="I159" s="4" t="s">
        <v>286</v>
      </c>
      <c r="J159" s="4" t="s">
        <v>287</v>
      </c>
      <c r="K159" s="4" t="s">
        <v>90</v>
      </c>
      <c r="L159" s="4" t="s">
        <v>50</v>
      </c>
      <c r="M159" s="3" t="str">
        <f>IF(H159 = "","",MONTH(H159))</f>
        <v/>
      </c>
      <c r="N159" s="3" t="str">
        <f>IF(H159 = "","",YEAR(H159))</f>
        <v/>
      </c>
      <c r="O159" s="6">
        <f t="shared" si="11"/>
        <v>61</v>
      </c>
      <c r="P159" s="6" t="str">
        <f t="shared" si="12"/>
        <v>-</v>
      </c>
      <c r="Q159" s="6">
        <f t="shared" si="13"/>
        <v>17</v>
      </c>
      <c r="R159" s="6">
        <f t="shared" si="14"/>
        <v>21</v>
      </c>
      <c r="S159" s="6" t="str">
        <f t="shared" si="15"/>
        <v>-</v>
      </c>
    </row>
    <row r="160" spans="1:19" ht="14.1" customHeight="1" thickBot="1" x14ac:dyDescent="0.25">
      <c r="A160" s="4" t="str">
        <f>"1106"</f>
        <v>1106</v>
      </c>
      <c r="B160" s="5">
        <v>40609</v>
      </c>
      <c r="C160" s="4"/>
      <c r="D160" s="4"/>
      <c r="E160" s="4"/>
      <c r="F160" s="4"/>
      <c r="G160" s="4"/>
      <c r="H160" s="4"/>
      <c r="I160" s="4" t="s">
        <v>288</v>
      </c>
      <c r="J160" s="4" t="s">
        <v>289</v>
      </c>
      <c r="K160" s="4" t="s">
        <v>39</v>
      </c>
      <c r="L160" s="4" t="s">
        <v>162</v>
      </c>
      <c r="M160" s="3" t="str">
        <f>IF(H160 = "","",MONTH(H160))</f>
        <v/>
      </c>
      <c r="N160" s="3" t="str">
        <f>IF(H160 = "","",YEAR(H160))</f>
        <v/>
      </c>
      <c r="O160" s="6" t="str">
        <f t="shared" si="11"/>
        <v>-</v>
      </c>
      <c r="P160" s="6" t="str">
        <f t="shared" si="12"/>
        <v>-</v>
      </c>
      <c r="Q160" s="6" t="str">
        <f t="shared" si="13"/>
        <v>-</v>
      </c>
      <c r="R160" s="6" t="str">
        <f t="shared" si="14"/>
        <v>-</v>
      </c>
      <c r="S160" s="6" t="str">
        <f t="shared" si="15"/>
        <v>-</v>
      </c>
    </row>
    <row r="161" spans="1:19" ht="14.1" customHeight="1" thickBot="1" x14ac:dyDescent="0.25">
      <c r="A161" s="4" t="str">
        <f>"1104"</f>
        <v>1104</v>
      </c>
      <c r="B161" s="5">
        <v>40583</v>
      </c>
      <c r="C161" s="4"/>
      <c r="D161" s="4"/>
      <c r="E161" s="4"/>
      <c r="F161" s="4"/>
      <c r="G161" s="4"/>
      <c r="H161" s="4"/>
      <c r="I161" s="4" t="s">
        <v>290</v>
      </c>
      <c r="J161" s="4" t="s">
        <v>291</v>
      </c>
      <c r="K161" s="4" t="s">
        <v>39</v>
      </c>
      <c r="L161" s="4" t="str">
        <f>"0"</f>
        <v>0</v>
      </c>
      <c r="M161" s="3" t="str">
        <f>IF(H161 = "","",MONTH(H161))</f>
        <v/>
      </c>
      <c r="N161" s="3" t="str">
        <f>IF(H161 = "","",YEAR(H161))</f>
        <v/>
      </c>
      <c r="O161" s="6" t="str">
        <f t="shared" si="11"/>
        <v>-</v>
      </c>
      <c r="P161" s="6" t="str">
        <f t="shared" si="12"/>
        <v>-</v>
      </c>
      <c r="Q161" s="6" t="str">
        <f t="shared" si="13"/>
        <v>-</v>
      </c>
      <c r="R161" s="6" t="str">
        <f t="shared" si="14"/>
        <v>-</v>
      </c>
      <c r="S161" s="6" t="str">
        <f t="shared" si="15"/>
        <v>-</v>
      </c>
    </row>
    <row r="162" spans="1:19" ht="14.1" customHeight="1" thickBot="1" x14ac:dyDescent="0.25">
      <c r="A162" s="4" t="str">
        <f>"1103"</f>
        <v>1103</v>
      </c>
      <c r="B162" s="5">
        <v>40577</v>
      </c>
      <c r="C162" s="4"/>
      <c r="D162" s="4"/>
      <c r="E162" s="4"/>
      <c r="F162" s="4"/>
      <c r="G162" s="4"/>
      <c r="H162" s="4"/>
      <c r="I162" s="4"/>
      <c r="J162" s="4" t="s">
        <v>292</v>
      </c>
      <c r="K162" s="4" t="s">
        <v>90</v>
      </c>
      <c r="L162" s="4" t="str">
        <f>"0"</f>
        <v>0</v>
      </c>
      <c r="M162" s="3" t="str">
        <f>IF(H162 = "","",MONTH(H162))</f>
        <v/>
      </c>
      <c r="N162" s="3" t="str">
        <f>IF(H162 = "","",YEAR(H162))</f>
        <v/>
      </c>
      <c r="O162" s="6" t="str">
        <f t="shared" si="11"/>
        <v>-</v>
      </c>
      <c r="P162" s="6" t="str">
        <f t="shared" si="12"/>
        <v>-</v>
      </c>
      <c r="Q162" s="6" t="str">
        <f t="shared" si="13"/>
        <v>-</v>
      </c>
      <c r="R162" s="6" t="str">
        <f t="shared" si="14"/>
        <v>-</v>
      </c>
      <c r="S162" s="6" t="str">
        <f t="shared" si="15"/>
        <v>-</v>
      </c>
    </row>
    <row r="163" spans="1:19" ht="14.1" customHeight="1" thickBot="1" x14ac:dyDescent="0.25">
      <c r="A163" s="4" t="str">
        <f>"1101"</f>
        <v>1101</v>
      </c>
      <c r="B163" s="5">
        <v>40568</v>
      </c>
      <c r="C163" s="4"/>
      <c r="D163" s="4"/>
      <c r="E163" s="4"/>
      <c r="F163" s="4"/>
      <c r="G163" s="4"/>
      <c r="H163" s="4"/>
      <c r="I163" s="4" t="s">
        <v>293</v>
      </c>
      <c r="J163" s="4" t="s">
        <v>238</v>
      </c>
      <c r="K163" s="4" t="s">
        <v>39</v>
      </c>
      <c r="L163" s="4" t="str">
        <f>"0"</f>
        <v>0</v>
      </c>
      <c r="M163" s="3" t="str">
        <f>IF(H163 = "","",MONTH(H163))</f>
        <v/>
      </c>
      <c r="N163" s="3" t="str">
        <f>IF(H163 = "","",YEAR(H163))</f>
        <v/>
      </c>
      <c r="O163" s="6" t="str">
        <f t="shared" si="11"/>
        <v>-</v>
      </c>
      <c r="P163" s="6" t="str">
        <f t="shared" si="12"/>
        <v>-</v>
      </c>
      <c r="Q163" s="6" t="str">
        <f t="shared" si="13"/>
        <v>-</v>
      </c>
      <c r="R163" s="6" t="str">
        <f t="shared" si="14"/>
        <v>-</v>
      </c>
      <c r="S163" s="6" t="str">
        <f t="shared" si="15"/>
        <v>-</v>
      </c>
    </row>
    <row r="164" spans="1:19" ht="14.1" customHeight="1" thickBot="1" x14ac:dyDescent="0.25">
      <c r="A164" s="4" t="str">
        <f>"1102"</f>
        <v>1102</v>
      </c>
      <c r="B164" s="5">
        <v>40526</v>
      </c>
      <c r="C164" s="4"/>
      <c r="D164" s="4" t="str">
        <f>"11001"</f>
        <v>11001</v>
      </c>
      <c r="E164" s="4"/>
      <c r="F164" s="4"/>
      <c r="G164" s="4"/>
      <c r="H164" s="4"/>
      <c r="I164" s="4" t="s">
        <v>294</v>
      </c>
      <c r="J164" s="4" t="s">
        <v>295</v>
      </c>
      <c r="K164" s="4" t="s">
        <v>39</v>
      </c>
      <c r="L164" s="4" t="s">
        <v>230</v>
      </c>
      <c r="M164" s="3" t="str">
        <f>IF(H164 = "","",MONTH(H164))</f>
        <v/>
      </c>
      <c r="N164" s="3" t="str">
        <f>IF(H164 = "","",YEAR(H164))</f>
        <v/>
      </c>
      <c r="O164" s="6" t="str">
        <f t="shared" si="11"/>
        <v>-</v>
      </c>
      <c r="P164" s="6" t="str">
        <f t="shared" si="12"/>
        <v>-</v>
      </c>
      <c r="Q164" s="6" t="str">
        <f t="shared" si="13"/>
        <v>-</v>
      </c>
      <c r="R164" s="6" t="str">
        <f t="shared" si="14"/>
        <v>-</v>
      </c>
      <c r="S164" s="6" t="str">
        <f t="shared" si="15"/>
        <v>-</v>
      </c>
    </row>
    <row r="165" spans="1:19" ht="14.1" customHeight="1" thickBot="1" x14ac:dyDescent="0.25">
      <c r="A165" s="4" t="str">
        <f>"1019"</f>
        <v>1019</v>
      </c>
      <c r="B165" s="5">
        <v>40483</v>
      </c>
      <c r="C165" s="4"/>
      <c r="D165" s="4"/>
      <c r="E165" s="4"/>
      <c r="F165" s="4"/>
      <c r="G165" s="4"/>
      <c r="H165" s="4"/>
      <c r="I165" s="4" t="s">
        <v>296</v>
      </c>
      <c r="J165" s="4" t="s">
        <v>297</v>
      </c>
      <c r="K165" s="4" t="s">
        <v>39</v>
      </c>
      <c r="L165" s="4" t="str">
        <f>"0"</f>
        <v>0</v>
      </c>
      <c r="M165" s="3" t="str">
        <f>IF(H165 = "","",MONTH(H165))</f>
        <v/>
      </c>
      <c r="N165" s="3" t="str">
        <f>IF(H165 = "","",YEAR(H165))</f>
        <v/>
      </c>
      <c r="O165" s="6" t="str">
        <f t="shared" si="11"/>
        <v>-</v>
      </c>
      <c r="P165" s="6" t="str">
        <f t="shared" si="12"/>
        <v>-</v>
      </c>
      <c r="Q165" s="6" t="str">
        <f t="shared" si="13"/>
        <v>-</v>
      </c>
      <c r="R165" s="6" t="str">
        <f t="shared" si="14"/>
        <v>-</v>
      </c>
      <c r="S165" s="6" t="str">
        <f t="shared" si="15"/>
        <v>-</v>
      </c>
    </row>
    <row r="166" spans="1:19" ht="14.1" customHeight="1" thickBot="1" x14ac:dyDescent="0.25">
      <c r="A166" s="4" t="str">
        <f>"1022"</f>
        <v>1022</v>
      </c>
      <c r="B166" s="5">
        <v>40479</v>
      </c>
      <c r="C166" s="4"/>
      <c r="D166" s="4"/>
      <c r="E166" s="4"/>
      <c r="F166" s="4"/>
      <c r="G166" s="4"/>
      <c r="H166" s="4"/>
      <c r="I166" s="4" t="s">
        <v>298</v>
      </c>
      <c r="J166" s="4" t="s">
        <v>138</v>
      </c>
      <c r="K166" s="4" t="s">
        <v>299</v>
      </c>
      <c r="L166" s="4" t="str">
        <f>"0"</f>
        <v>0</v>
      </c>
      <c r="M166" s="3" t="str">
        <f>IF(H166 = "","",MONTH(H166))</f>
        <v/>
      </c>
      <c r="N166" s="3" t="str">
        <f>IF(H166 = "","",YEAR(H166))</f>
        <v/>
      </c>
      <c r="O166" s="6" t="str">
        <f t="shared" si="11"/>
        <v>-</v>
      </c>
      <c r="P166" s="6" t="str">
        <f t="shared" si="12"/>
        <v>-</v>
      </c>
      <c r="Q166" s="6" t="str">
        <f t="shared" si="13"/>
        <v>-</v>
      </c>
      <c r="R166" s="6" t="str">
        <f t="shared" si="14"/>
        <v>-</v>
      </c>
      <c r="S166" s="6" t="str">
        <f t="shared" si="15"/>
        <v>-</v>
      </c>
    </row>
    <row r="167" spans="1:19" ht="14.1" customHeight="1" thickBot="1" x14ac:dyDescent="0.25">
      <c r="A167" s="4" t="str">
        <f>"1009"</f>
        <v>1009</v>
      </c>
      <c r="B167" s="5">
        <v>40399</v>
      </c>
      <c r="C167" s="4"/>
      <c r="D167" s="4"/>
      <c r="E167" s="4"/>
      <c r="F167" s="4"/>
      <c r="G167" s="4"/>
      <c r="H167" s="4"/>
      <c r="I167" s="4"/>
      <c r="J167" s="4" t="s">
        <v>300</v>
      </c>
      <c r="K167" s="4" t="s">
        <v>39</v>
      </c>
      <c r="L167" s="4" t="str">
        <f>"0"</f>
        <v>0</v>
      </c>
      <c r="M167" s="3" t="str">
        <f>IF(H167 = "","",MONTH(H167))</f>
        <v/>
      </c>
      <c r="N167" s="3" t="str">
        <f>IF(H167 = "","",YEAR(H167))</f>
        <v/>
      </c>
      <c r="O167" s="6" t="str">
        <f t="shared" si="11"/>
        <v>-</v>
      </c>
      <c r="P167" s="6" t="str">
        <f t="shared" si="12"/>
        <v>-</v>
      </c>
      <c r="Q167" s="6" t="str">
        <f t="shared" si="13"/>
        <v>-</v>
      </c>
      <c r="R167" s="6" t="str">
        <f t="shared" si="14"/>
        <v>-</v>
      </c>
      <c r="S167" s="6" t="str">
        <f t="shared" si="15"/>
        <v>-</v>
      </c>
    </row>
    <row r="168" spans="1:19" ht="14.1" customHeight="1" thickBot="1" x14ac:dyDescent="0.25">
      <c r="A168" s="4" t="str">
        <f>"1021"</f>
        <v>1021</v>
      </c>
      <c r="B168" s="5">
        <v>40360</v>
      </c>
      <c r="C168" s="4"/>
      <c r="D168" s="4"/>
      <c r="E168" s="4"/>
      <c r="F168" s="4"/>
      <c r="G168" s="4"/>
      <c r="H168" s="4"/>
      <c r="I168" s="4"/>
      <c r="J168" s="4" t="s">
        <v>301</v>
      </c>
      <c r="K168" s="4" t="s">
        <v>90</v>
      </c>
      <c r="L168" s="4" t="str">
        <f>"0"</f>
        <v>0</v>
      </c>
      <c r="M168" s="3" t="str">
        <f>IF(H168 = "","",MONTH(H168))</f>
        <v/>
      </c>
      <c r="N168" s="3" t="str">
        <f>IF(H168 = "","",YEAR(H168))</f>
        <v/>
      </c>
      <c r="O168" s="6" t="str">
        <f t="shared" si="11"/>
        <v>-</v>
      </c>
      <c r="P168" s="6" t="str">
        <f t="shared" si="12"/>
        <v>-</v>
      </c>
      <c r="Q168" s="6" t="str">
        <f t="shared" si="13"/>
        <v>-</v>
      </c>
      <c r="R168" s="6" t="str">
        <f t="shared" si="14"/>
        <v>-</v>
      </c>
      <c r="S168" s="6" t="str">
        <f t="shared" si="15"/>
        <v>-</v>
      </c>
    </row>
    <row r="169" spans="1:19" ht="14.1" customHeight="1" thickBot="1" x14ac:dyDescent="0.25">
      <c r="A169" s="4" t="str">
        <f>"1018"</f>
        <v>1018</v>
      </c>
      <c r="B169" s="5">
        <v>40360</v>
      </c>
      <c r="C169" s="4"/>
      <c r="D169" s="4" t="str">
        <f>"10005"</f>
        <v>10005</v>
      </c>
      <c r="E169" s="4"/>
      <c r="F169" s="4"/>
      <c r="G169" s="4"/>
      <c r="H169" s="4"/>
      <c r="I169" s="4" t="s">
        <v>302</v>
      </c>
      <c r="J169" s="4" t="s">
        <v>133</v>
      </c>
      <c r="K169" s="4" t="s">
        <v>39</v>
      </c>
      <c r="L169" s="4" t="s">
        <v>86</v>
      </c>
      <c r="M169" s="3" t="str">
        <f>IF(H169 = "","",MONTH(H169))</f>
        <v/>
      </c>
      <c r="N169" s="3" t="str">
        <f>IF(H169 = "","",YEAR(H169))</f>
        <v/>
      </c>
      <c r="O169" s="6" t="str">
        <f t="shared" si="11"/>
        <v>-</v>
      </c>
      <c r="P169" s="6" t="str">
        <f t="shared" si="12"/>
        <v>-</v>
      </c>
      <c r="Q169" s="6" t="str">
        <f t="shared" si="13"/>
        <v>-</v>
      </c>
      <c r="R169" s="6" t="str">
        <f t="shared" si="14"/>
        <v>-</v>
      </c>
      <c r="S169" s="6" t="str">
        <f t="shared" si="15"/>
        <v>-</v>
      </c>
    </row>
    <row r="170" spans="1:19" ht="14.1" customHeight="1" thickBot="1" x14ac:dyDescent="0.25">
      <c r="A170" s="4" t="str">
        <f>"1020"</f>
        <v>1020</v>
      </c>
      <c r="B170" s="5">
        <v>40360</v>
      </c>
      <c r="C170" s="4"/>
      <c r="D170" s="4" t="str">
        <f>"11015"</f>
        <v>11015</v>
      </c>
      <c r="E170" s="4"/>
      <c r="F170" s="4"/>
      <c r="G170" s="4"/>
      <c r="H170" s="4"/>
      <c r="I170" s="4" t="s">
        <v>303</v>
      </c>
      <c r="J170" s="4" t="s">
        <v>304</v>
      </c>
      <c r="K170" s="4" t="s">
        <v>90</v>
      </c>
      <c r="L170" s="4" t="s">
        <v>127</v>
      </c>
      <c r="M170" s="3" t="str">
        <f>IF(H170 = "","",MONTH(H170))</f>
        <v/>
      </c>
      <c r="N170" s="3" t="str">
        <f>IF(H170 = "","",YEAR(H170))</f>
        <v/>
      </c>
      <c r="O170" s="6" t="str">
        <f t="shared" si="11"/>
        <v>-</v>
      </c>
      <c r="P170" s="6" t="str">
        <f t="shared" si="12"/>
        <v>-</v>
      </c>
      <c r="Q170" s="6" t="str">
        <f t="shared" si="13"/>
        <v>-</v>
      </c>
      <c r="R170" s="6" t="str">
        <f t="shared" si="14"/>
        <v>-</v>
      </c>
      <c r="S170" s="6" t="str">
        <f t="shared" si="15"/>
        <v>-</v>
      </c>
    </row>
    <row r="171" spans="1:19" ht="14.1" customHeight="1" thickBot="1" x14ac:dyDescent="0.25">
      <c r="A171" s="4" t="str">
        <f>"1017"</f>
        <v>1017</v>
      </c>
      <c r="B171" s="5">
        <v>40319</v>
      </c>
      <c r="C171" s="4"/>
      <c r="D171" s="4"/>
      <c r="E171" s="4"/>
      <c r="F171" s="4"/>
      <c r="G171" s="4"/>
      <c r="H171" s="4"/>
      <c r="I171" s="4" t="s">
        <v>305</v>
      </c>
      <c r="J171" s="4" t="s">
        <v>306</v>
      </c>
      <c r="K171" s="4" t="s">
        <v>90</v>
      </c>
      <c r="L171" s="4" t="str">
        <f>"1"</f>
        <v>1</v>
      </c>
      <c r="M171" s="3" t="str">
        <f>IF(H171 = "","",MONTH(H171))</f>
        <v/>
      </c>
      <c r="N171" s="3" t="str">
        <f>IF(H171 = "","",YEAR(H171))</f>
        <v/>
      </c>
      <c r="O171" s="6" t="str">
        <f t="shared" si="11"/>
        <v>-</v>
      </c>
      <c r="P171" s="6" t="str">
        <f t="shared" si="12"/>
        <v>-</v>
      </c>
      <c r="Q171" s="6" t="str">
        <f t="shared" si="13"/>
        <v>-</v>
      </c>
      <c r="R171" s="6" t="str">
        <f t="shared" si="14"/>
        <v>-</v>
      </c>
      <c r="S171" s="6" t="str">
        <f t="shared" si="15"/>
        <v>-</v>
      </c>
    </row>
    <row r="172" spans="1:19" ht="14.1" customHeight="1" thickBot="1" x14ac:dyDescent="0.25">
      <c r="A172" s="4" t="str">
        <f>"1016"</f>
        <v>1016</v>
      </c>
      <c r="B172" s="5">
        <v>40301</v>
      </c>
      <c r="C172" s="4"/>
      <c r="D172" s="4"/>
      <c r="E172" s="4"/>
      <c r="F172" s="4"/>
      <c r="G172" s="4"/>
      <c r="H172" s="4"/>
      <c r="I172" s="4" t="s">
        <v>307</v>
      </c>
      <c r="J172" s="4" t="s">
        <v>308</v>
      </c>
      <c r="K172" s="4"/>
      <c r="L172" s="4" t="str">
        <f>"0"</f>
        <v>0</v>
      </c>
      <c r="M172" s="3" t="str">
        <f>IF(H172 = "","",MONTH(H172))</f>
        <v/>
      </c>
      <c r="N172" s="3" t="str">
        <f>IF(H172 = "","",YEAR(H172))</f>
        <v/>
      </c>
      <c r="O172" s="6" t="str">
        <f t="shared" si="11"/>
        <v>-</v>
      </c>
      <c r="P172" s="6" t="str">
        <f t="shared" si="12"/>
        <v>-</v>
      </c>
      <c r="Q172" s="6" t="str">
        <f t="shared" si="13"/>
        <v>-</v>
      </c>
      <c r="R172" s="6" t="str">
        <f t="shared" si="14"/>
        <v>-</v>
      </c>
      <c r="S172" s="6" t="str">
        <f t="shared" si="15"/>
        <v>-</v>
      </c>
    </row>
    <row r="173" spans="1:19" ht="14.1" customHeight="1" thickBot="1" x14ac:dyDescent="0.25">
      <c r="A173" s="4" t="str">
        <f>"1015"</f>
        <v>1015</v>
      </c>
      <c r="B173" s="5">
        <v>40293</v>
      </c>
      <c r="C173" s="4"/>
      <c r="D173" s="4"/>
      <c r="E173" s="4"/>
      <c r="F173" s="4"/>
      <c r="G173" s="4"/>
      <c r="H173" s="4"/>
      <c r="I173" s="4" t="s">
        <v>309</v>
      </c>
      <c r="J173" s="4" t="s">
        <v>310</v>
      </c>
      <c r="K173" s="4" t="s">
        <v>90</v>
      </c>
      <c r="L173" s="4" t="str">
        <f>"0"</f>
        <v>0</v>
      </c>
      <c r="M173" s="3" t="str">
        <f>IF(H173 = "","",MONTH(H173))</f>
        <v/>
      </c>
      <c r="N173" s="3" t="str">
        <f>IF(H173 = "","",YEAR(H173))</f>
        <v/>
      </c>
      <c r="O173" s="6" t="str">
        <f t="shared" si="11"/>
        <v>-</v>
      </c>
      <c r="P173" s="6" t="str">
        <f t="shared" si="12"/>
        <v>-</v>
      </c>
      <c r="Q173" s="6" t="str">
        <f t="shared" si="13"/>
        <v>-</v>
      </c>
      <c r="R173" s="6" t="str">
        <f t="shared" si="14"/>
        <v>-</v>
      </c>
      <c r="S173" s="6" t="str">
        <f t="shared" si="15"/>
        <v>-</v>
      </c>
    </row>
    <row r="174" spans="1:19" ht="14.1" customHeight="1" thickBot="1" x14ac:dyDescent="0.25">
      <c r="A174" s="4" t="str">
        <f>"1014"</f>
        <v>1014</v>
      </c>
      <c r="B174" s="5">
        <v>40289</v>
      </c>
      <c r="C174" s="4"/>
      <c r="D174" s="4"/>
      <c r="E174" s="4"/>
      <c r="F174" s="4"/>
      <c r="G174" s="4"/>
      <c r="H174" s="4"/>
      <c r="I174" s="4"/>
      <c r="J174" s="4" t="s">
        <v>311</v>
      </c>
      <c r="K174" s="4" t="s">
        <v>39</v>
      </c>
      <c r="L174" s="4" t="str">
        <f>"0"</f>
        <v>0</v>
      </c>
      <c r="M174" s="3" t="str">
        <f>IF(H174 = "","",MONTH(H174))</f>
        <v/>
      </c>
      <c r="N174" s="3" t="str">
        <f>IF(H174 = "","",YEAR(H174))</f>
        <v/>
      </c>
      <c r="O174" s="6" t="str">
        <f t="shared" si="11"/>
        <v>-</v>
      </c>
      <c r="P174" s="6" t="str">
        <f t="shared" si="12"/>
        <v>-</v>
      </c>
      <c r="Q174" s="6" t="str">
        <f t="shared" si="13"/>
        <v>-</v>
      </c>
      <c r="R174" s="6" t="str">
        <f t="shared" si="14"/>
        <v>-</v>
      </c>
      <c r="S174" s="6" t="str">
        <f t="shared" si="15"/>
        <v>-</v>
      </c>
    </row>
    <row r="175" spans="1:19" ht="14.1" customHeight="1" thickBot="1" x14ac:dyDescent="0.25">
      <c r="A175" s="4" t="str">
        <f>"1012"</f>
        <v>1012</v>
      </c>
      <c r="B175" s="5">
        <v>40277</v>
      </c>
      <c r="C175" s="4"/>
      <c r="D175" s="4"/>
      <c r="E175" s="4"/>
      <c r="F175" s="4"/>
      <c r="G175" s="4"/>
      <c r="H175" s="4"/>
      <c r="I175" s="4" t="s">
        <v>312</v>
      </c>
      <c r="J175" s="4" t="s">
        <v>313</v>
      </c>
      <c r="K175" s="4" t="s">
        <v>39</v>
      </c>
      <c r="L175" s="4" t="str">
        <f>"1"</f>
        <v>1</v>
      </c>
      <c r="M175" s="3" t="str">
        <f>IF(H175 = "","",MONTH(H175))</f>
        <v/>
      </c>
      <c r="N175" s="3" t="str">
        <f>IF(H175 = "","",YEAR(H175))</f>
        <v/>
      </c>
      <c r="O175" s="6" t="str">
        <f t="shared" si="11"/>
        <v>-</v>
      </c>
      <c r="P175" s="6" t="str">
        <f t="shared" si="12"/>
        <v>-</v>
      </c>
      <c r="Q175" s="6" t="str">
        <f t="shared" si="13"/>
        <v>-</v>
      </c>
      <c r="R175" s="6" t="str">
        <f t="shared" si="14"/>
        <v>-</v>
      </c>
      <c r="S175" s="6" t="str">
        <f t="shared" si="15"/>
        <v>-</v>
      </c>
    </row>
    <row r="176" spans="1:19" ht="14.1" customHeight="1" thickBot="1" x14ac:dyDescent="0.25">
      <c r="A176" s="4" t="str">
        <f>"1007"</f>
        <v>1007</v>
      </c>
      <c r="B176" s="5">
        <v>40268</v>
      </c>
      <c r="C176" s="4"/>
      <c r="D176" s="4"/>
      <c r="E176" s="4"/>
      <c r="F176" s="4"/>
      <c r="G176" s="4"/>
      <c r="H176" s="4"/>
      <c r="I176" s="4" t="s">
        <v>314</v>
      </c>
      <c r="J176" s="4" t="s">
        <v>315</v>
      </c>
      <c r="K176" s="4" t="s">
        <v>118</v>
      </c>
      <c r="L176" s="4" t="str">
        <f>"0"</f>
        <v>0</v>
      </c>
      <c r="M176" s="3" t="str">
        <f>IF(H176 = "","",MONTH(H176))</f>
        <v/>
      </c>
      <c r="N176" s="3" t="str">
        <f>IF(H176 = "","",YEAR(H176))</f>
        <v/>
      </c>
      <c r="O176" s="6" t="str">
        <f t="shared" si="11"/>
        <v>-</v>
      </c>
      <c r="P176" s="6" t="str">
        <f t="shared" si="12"/>
        <v>-</v>
      </c>
      <c r="Q176" s="6" t="str">
        <f t="shared" si="13"/>
        <v>-</v>
      </c>
      <c r="R176" s="6" t="str">
        <f t="shared" si="14"/>
        <v>-</v>
      </c>
      <c r="S176" s="6" t="str">
        <f t="shared" si="15"/>
        <v>-</v>
      </c>
    </row>
    <row r="177" spans="1:19" ht="14.1" customHeight="1" thickBot="1" x14ac:dyDescent="0.25">
      <c r="A177" s="4" t="str">
        <f>"1006"</f>
        <v>1006</v>
      </c>
      <c r="B177" s="5">
        <v>40267</v>
      </c>
      <c r="C177" s="4"/>
      <c r="D177" s="4"/>
      <c r="E177" s="4"/>
      <c r="F177" s="4"/>
      <c r="G177" s="4"/>
      <c r="H177" s="4"/>
      <c r="I177" s="4"/>
      <c r="J177" s="4" t="s">
        <v>316</v>
      </c>
      <c r="K177" s="4" t="s">
        <v>317</v>
      </c>
      <c r="L177" s="4" t="str">
        <f>"0"</f>
        <v>0</v>
      </c>
      <c r="M177" s="3" t="str">
        <f>IF(H177 = "","",MONTH(H177))</f>
        <v/>
      </c>
      <c r="N177" s="3" t="str">
        <f>IF(H177 = "","",YEAR(H177))</f>
        <v/>
      </c>
      <c r="O177" s="6" t="str">
        <f t="shared" si="11"/>
        <v>-</v>
      </c>
      <c r="P177" s="6" t="str">
        <f t="shared" si="12"/>
        <v>-</v>
      </c>
      <c r="Q177" s="6" t="str">
        <f t="shared" si="13"/>
        <v>-</v>
      </c>
      <c r="R177" s="6" t="str">
        <f t="shared" si="14"/>
        <v>-</v>
      </c>
      <c r="S177" s="6" t="str">
        <f t="shared" si="15"/>
        <v>-</v>
      </c>
    </row>
    <row r="178" spans="1:19" ht="14.1" customHeight="1" thickBot="1" x14ac:dyDescent="0.25">
      <c r="A178" s="4" t="str">
        <f>"1005"</f>
        <v>1005</v>
      </c>
      <c r="B178" s="5">
        <v>40259</v>
      </c>
      <c r="C178" s="4"/>
      <c r="D178" s="4" t="str">
        <f>"10007"</f>
        <v>10007</v>
      </c>
      <c r="E178" s="4"/>
      <c r="F178" s="4"/>
      <c r="G178" s="4"/>
      <c r="H178" s="4"/>
      <c r="I178" s="4" t="s">
        <v>318</v>
      </c>
      <c r="J178" s="4" t="s">
        <v>319</v>
      </c>
      <c r="K178" s="4" t="s">
        <v>39</v>
      </c>
      <c r="L178" s="4" t="s">
        <v>21</v>
      </c>
      <c r="M178" s="3" t="str">
        <f>IF(H178 = "","",MONTH(H178))</f>
        <v/>
      </c>
      <c r="N178" s="3" t="str">
        <f>IF(H178 = "","",YEAR(H178))</f>
        <v/>
      </c>
      <c r="O178" s="6" t="str">
        <f t="shared" si="11"/>
        <v>-</v>
      </c>
      <c r="P178" s="6" t="str">
        <f t="shared" si="12"/>
        <v>-</v>
      </c>
      <c r="Q178" s="6" t="str">
        <f t="shared" si="13"/>
        <v>-</v>
      </c>
      <c r="R178" s="6" t="str">
        <f t="shared" si="14"/>
        <v>-</v>
      </c>
      <c r="S178" s="6" t="str">
        <f t="shared" si="15"/>
        <v>-</v>
      </c>
    </row>
    <row r="179" spans="1:19" ht="14.1" customHeight="1" thickBot="1" x14ac:dyDescent="0.25">
      <c r="A179" s="4" t="str">
        <f>"1004"</f>
        <v>1004</v>
      </c>
      <c r="B179" s="5">
        <v>40238</v>
      </c>
      <c r="C179" s="4"/>
      <c r="D179" s="4" t="str">
        <f>"10003"</f>
        <v>10003</v>
      </c>
      <c r="E179" s="5">
        <v>40662</v>
      </c>
      <c r="F179" s="5">
        <v>40715</v>
      </c>
      <c r="G179" s="4"/>
      <c r="H179" s="4"/>
      <c r="I179" s="4" t="s">
        <v>320</v>
      </c>
      <c r="J179" s="4" t="s">
        <v>321</v>
      </c>
      <c r="K179" s="4" t="s">
        <v>39</v>
      </c>
      <c r="L179" s="4" t="s">
        <v>50</v>
      </c>
      <c r="M179" s="3" t="str">
        <f>IF(H179 = "","",MONTH(H179))</f>
        <v/>
      </c>
      <c r="N179" s="3" t="str">
        <f>IF(H179 = "","",YEAR(H179))</f>
        <v/>
      </c>
      <c r="O179" s="6">
        <f t="shared" si="11"/>
        <v>418</v>
      </c>
      <c r="P179" s="6" t="str">
        <f t="shared" si="12"/>
        <v>-</v>
      </c>
      <c r="Q179" s="6">
        <f t="shared" si="13"/>
        <v>52</v>
      </c>
      <c r="R179" s="6" t="str">
        <f t="shared" si="14"/>
        <v>-</v>
      </c>
      <c r="S179" s="6" t="str">
        <f t="shared" si="15"/>
        <v>-</v>
      </c>
    </row>
    <row r="180" spans="1:19" ht="14.1" customHeight="1" thickBot="1" x14ac:dyDescent="0.25">
      <c r="A180" s="4" t="str">
        <f>"1003"</f>
        <v>1003</v>
      </c>
      <c r="B180" s="5">
        <v>40215</v>
      </c>
      <c r="C180" s="4"/>
      <c r="D180" s="4" t="str">
        <f>"10006"</f>
        <v>10006</v>
      </c>
      <c r="E180" s="4"/>
      <c r="F180" s="4"/>
      <c r="G180" s="5">
        <v>40875</v>
      </c>
      <c r="H180" s="4"/>
      <c r="I180" s="4" t="s">
        <v>322</v>
      </c>
      <c r="J180" s="4" t="s">
        <v>323</v>
      </c>
      <c r="K180" s="4" t="s">
        <v>39</v>
      </c>
      <c r="L180" s="4" t="s">
        <v>86</v>
      </c>
      <c r="M180" s="3" t="str">
        <f>IF(H180 = "","",MONTH(H180))</f>
        <v/>
      </c>
      <c r="N180" s="3" t="str">
        <f>IF(H180 = "","",YEAR(H180))</f>
        <v/>
      </c>
      <c r="O180" s="6" t="str">
        <f t="shared" si="11"/>
        <v>-</v>
      </c>
      <c r="P180" s="6" t="str">
        <f t="shared" si="12"/>
        <v>-</v>
      </c>
      <c r="Q180" s="6" t="str">
        <f t="shared" si="13"/>
        <v>-</v>
      </c>
      <c r="R180" s="6" t="str">
        <f t="shared" si="14"/>
        <v>-</v>
      </c>
      <c r="S180" s="6" t="str">
        <f t="shared" si="15"/>
        <v>-</v>
      </c>
    </row>
    <row r="181" spans="1:19" ht="14.1" customHeight="1" thickBot="1" x14ac:dyDescent="0.25">
      <c r="A181" s="4" t="str">
        <f>"1002"</f>
        <v>1002</v>
      </c>
      <c r="B181" s="5">
        <v>40210</v>
      </c>
      <c r="C181" s="4"/>
      <c r="D181" s="4" t="str">
        <f>"10004"</f>
        <v>10004</v>
      </c>
      <c r="E181" s="4"/>
      <c r="F181" s="4"/>
      <c r="G181" s="5">
        <v>41232</v>
      </c>
      <c r="H181" s="4"/>
      <c r="I181" s="4" t="s">
        <v>324</v>
      </c>
      <c r="J181" s="4" t="s">
        <v>323</v>
      </c>
      <c r="K181" s="4" t="s">
        <v>39</v>
      </c>
      <c r="L181" s="4" t="s">
        <v>21</v>
      </c>
      <c r="M181" s="3" t="str">
        <f>IF(H181 = "","",MONTH(H181))</f>
        <v/>
      </c>
      <c r="N181" s="3" t="str">
        <f>IF(H181 = "","",YEAR(H181))</f>
        <v/>
      </c>
      <c r="O181" s="6" t="str">
        <f t="shared" si="11"/>
        <v>-</v>
      </c>
      <c r="P181" s="6" t="str">
        <f t="shared" si="12"/>
        <v>-</v>
      </c>
      <c r="Q181" s="6" t="str">
        <f t="shared" si="13"/>
        <v>-</v>
      </c>
      <c r="R181" s="6" t="str">
        <f t="shared" si="14"/>
        <v>-</v>
      </c>
      <c r="S181" s="6" t="str">
        <f t="shared" si="15"/>
        <v>-</v>
      </c>
    </row>
    <row r="182" spans="1:19" ht="14.1" customHeight="1" thickBot="1" x14ac:dyDescent="0.25">
      <c r="A182" s="4" t="str">
        <f>"1011"</f>
        <v>1011</v>
      </c>
      <c r="B182" s="5">
        <v>40210</v>
      </c>
      <c r="C182" s="4"/>
      <c r="D182" s="4"/>
      <c r="E182" s="4"/>
      <c r="F182" s="4"/>
      <c r="G182" s="4"/>
      <c r="H182" s="4"/>
      <c r="I182" s="4" t="s">
        <v>325</v>
      </c>
      <c r="J182" s="4" t="s">
        <v>326</v>
      </c>
      <c r="K182" s="4" t="s">
        <v>39</v>
      </c>
      <c r="L182" s="4" t="str">
        <f>"1"</f>
        <v>1</v>
      </c>
      <c r="M182" s="3" t="str">
        <f>IF(H182 = "","",MONTH(H182))</f>
        <v/>
      </c>
      <c r="N182" s="3" t="str">
        <f>IF(H182 = "","",YEAR(H182))</f>
        <v/>
      </c>
      <c r="O182" s="6" t="str">
        <f t="shared" si="11"/>
        <v>-</v>
      </c>
      <c r="P182" s="6" t="str">
        <f t="shared" si="12"/>
        <v>-</v>
      </c>
      <c r="Q182" s="6" t="str">
        <f t="shared" si="13"/>
        <v>-</v>
      </c>
      <c r="R182" s="6" t="str">
        <f t="shared" si="14"/>
        <v>-</v>
      </c>
      <c r="S182" s="6" t="str">
        <f t="shared" si="15"/>
        <v>-</v>
      </c>
    </row>
    <row r="183" spans="1:19" ht="14.1" customHeight="1" thickBot="1" x14ac:dyDescent="0.25">
      <c r="A183" s="4" t="str">
        <f>"1001"</f>
        <v>1001</v>
      </c>
      <c r="B183" s="5">
        <v>40191</v>
      </c>
      <c r="C183" s="4"/>
      <c r="D183" s="4"/>
      <c r="E183" s="4"/>
      <c r="F183" s="4"/>
      <c r="G183" s="4"/>
      <c r="H183" s="4"/>
      <c r="I183" s="4"/>
      <c r="J183" s="4" t="s">
        <v>327</v>
      </c>
      <c r="K183" s="4" t="s">
        <v>39</v>
      </c>
      <c r="L183" s="4" t="str">
        <f>"0"</f>
        <v>0</v>
      </c>
      <c r="M183" s="3" t="str">
        <f>IF(H183 = "","",MONTH(H183))</f>
        <v/>
      </c>
      <c r="N183" s="3" t="str">
        <f>IF(H183 = "","",YEAR(H183))</f>
        <v/>
      </c>
      <c r="O183" s="6" t="str">
        <f t="shared" si="11"/>
        <v>-</v>
      </c>
      <c r="P183" s="6" t="str">
        <f t="shared" si="12"/>
        <v>-</v>
      </c>
      <c r="Q183" s="6" t="str">
        <f t="shared" si="13"/>
        <v>-</v>
      </c>
      <c r="R183" s="6" t="str">
        <f t="shared" si="14"/>
        <v>-</v>
      </c>
      <c r="S183" s="6" t="str">
        <f t="shared" si="15"/>
        <v>-</v>
      </c>
    </row>
    <row r="184" spans="1:19" ht="14.1" customHeight="1" thickBot="1" x14ac:dyDescent="0.25">
      <c r="A184" s="4" t="str">
        <f>"0926"</f>
        <v>0926</v>
      </c>
      <c r="B184" s="5">
        <v>40166</v>
      </c>
      <c r="C184" s="4"/>
      <c r="D184" s="4" t="str">
        <f>"09007"</f>
        <v>09007</v>
      </c>
      <c r="E184" s="4"/>
      <c r="F184" s="4"/>
      <c r="G184" s="4"/>
      <c r="H184" s="4"/>
      <c r="I184" s="4" t="s">
        <v>328</v>
      </c>
      <c r="J184" s="4" t="s">
        <v>329</v>
      </c>
      <c r="K184" s="4" t="s">
        <v>39</v>
      </c>
      <c r="L184" s="4" t="s">
        <v>21</v>
      </c>
      <c r="M184" s="3" t="str">
        <f>IF(H184 = "","",MONTH(H184))</f>
        <v/>
      </c>
      <c r="N184" s="3" t="str">
        <f>IF(H184 = "","",YEAR(H184))</f>
        <v/>
      </c>
      <c r="O184" s="6" t="str">
        <f t="shared" si="11"/>
        <v>-</v>
      </c>
      <c r="P184" s="6" t="str">
        <f t="shared" si="12"/>
        <v>-</v>
      </c>
      <c r="Q184" s="6" t="str">
        <f t="shared" si="13"/>
        <v>-</v>
      </c>
      <c r="R184" s="6" t="str">
        <f t="shared" si="14"/>
        <v>-</v>
      </c>
      <c r="S184" s="6" t="str">
        <f t="shared" si="15"/>
        <v>-</v>
      </c>
    </row>
    <row r="185" spans="1:19" ht="14.1" customHeight="1" thickBot="1" x14ac:dyDescent="0.25">
      <c r="A185" s="4" t="str">
        <f>"1010"</f>
        <v>1010</v>
      </c>
      <c r="B185" s="5">
        <v>40134</v>
      </c>
      <c r="C185" s="4"/>
      <c r="D185" s="4"/>
      <c r="E185" s="4"/>
      <c r="F185" s="4"/>
      <c r="G185" s="4"/>
      <c r="H185" s="4"/>
      <c r="I185" s="4"/>
      <c r="J185" s="4" t="s">
        <v>330</v>
      </c>
      <c r="K185" s="4" t="s">
        <v>39</v>
      </c>
      <c r="L185" s="4" t="str">
        <f>"0"</f>
        <v>0</v>
      </c>
      <c r="M185" s="3" t="str">
        <f>IF(H185 = "","",MONTH(H185))</f>
        <v/>
      </c>
      <c r="N185" s="3" t="str">
        <f>IF(H185 = "","",YEAR(H185))</f>
        <v/>
      </c>
      <c r="O185" s="6" t="str">
        <f t="shared" si="11"/>
        <v>-</v>
      </c>
      <c r="P185" s="6" t="str">
        <f t="shared" si="12"/>
        <v>-</v>
      </c>
      <c r="Q185" s="6" t="str">
        <f t="shared" si="13"/>
        <v>-</v>
      </c>
      <c r="R185" s="6" t="str">
        <f t="shared" si="14"/>
        <v>-</v>
      </c>
      <c r="S185" s="6" t="str">
        <f t="shared" si="15"/>
        <v>-</v>
      </c>
    </row>
    <row r="186" spans="1:19" ht="14.1" customHeight="1" thickBot="1" x14ac:dyDescent="0.25">
      <c r="A186" s="4" t="str">
        <f>"1008"</f>
        <v>1008</v>
      </c>
      <c r="B186" s="5">
        <v>40127</v>
      </c>
      <c r="C186" s="4"/>
      <c r="D186" s="4"/>
      <c r="E186" s="4"/>
      <c r="F186" s="4"/>
      <c r="G186" s="4"/>
      <c r="H186" s="4"/>
      <c r="I186" s="4" t="s">
        <v>331</v>
      </c>
      <c r="J186" s="4" t="s">
        <v>332</v>
      </c>
      <c r="K186" s="4" t="s">
        <v>39</v>
      </c>
      <c r="L186" s="4" t="str">
        <f>"0"</f>
        <v>0</v>
      </c>
      <c r="M186" s="3" t="str">
        <f>IF(H186 = "","",MONTH(H186))</f>
        <v/>
      </c>
      <c r="N186" s="3" t="str">
        <f>IF(H186 = "","",YEAR(H186))</f>
        <v/>
      </c>
      <c r="O186" s="6" t="str">
        <f t="shared" si="11"/>
        <v>-</v>
      </c>
      <c r="P186" s="6" t="str">
        <f t="shared" si="12"/>
        <v>-</v>
      </c>
      <c r="Q186" s="6" t="str">
        <f t="shared" si="13"/>
        <v>-</v>
      </c>
      <c r="R186" s="6" t="str">
        <f t="shared" si="14"/>
        <v>-</v>
      </c>
      <c r="S186" s="6" t="str">
        <f t="shared" si="15"/>
        <v>-</v>
      </c>
    </row>
    <row r="187" spans="1:19" ht="14.1" customHeight="1" thickBot="1" x14ac:dyDescent="0.25">
      <c r="A187" s="4" t="str">
        <f>"0927"</f>
        <v>0927</v>
      </c>
      <c r="B187" s="5">
        <v>40118</v>
      </c>
      <c r="C187" s="4"/>
      <c r="D187" s="4"/>
      <c r="E187" s="4"/>
      <c r="F187" s="4"/>
      <c r="G187" s="4"/>
      <c r="H187" s="4"/>
      <c r="I187" s="4" t="s">
        <v>333</v>
      </c>
      <c r="J187" s="4" t="s">
        <v>334</v>
      </c>
      <c r="K187" s="4" t="s">
        <v>39</v>
      </c>
      <c r="L187" s="4" t="str">
        <f>"1"</f>
        <v>1</v>
      </c>
      <c r="M187" s="3" t="str">
        <f>IF(H187 = "","",MONTH(H187))</f>
        <v/>
      </c>
      <c r="N187" s="3" t="str">
        <f>IF(H187 = "","",YEAR(H187))</f>
        <v/>
      </c>
      <c r="O187" s="6" t="str">
        <f t="shared" si="11"/>
        <v>-</v>
      </c>
      <c r="P187" s="6" t="str">
        <f t="shared" si="12"/>
        <v>-</v>
      </c>
      <c r="Q187" s="6" t="str">
        <f t="shared" si="13"/>
        <v>-</v>
      </c>
      <c r="R187" s="6" t="str">
        <f t="shared" si="14"/>
        <v>-</v>
      </c>
      <c r="S187" s="6" t="str">
        <f t="shared" si="15"/>
        <v>-</v>
      </c>
    </row>
    <row r="188" spans="1:19" ht="14.1" customHeight="1" thickBot="1" x14ac:dyDescent="0.25">
      <c r="A188" s="4" t="str">
        <f>"0924"</f>
        <v>0924</v>
      </c>
      <c r="B188" s="5">
        <v>40092</v>
      </c>
      <c r="C188" s="4"/>
      <c r="D188" s="4"/>
      <c r="E188" s="4"/>
      <c r="F188" s="4"/>
      <c r="G188" s="4"/>
      <c r="H188" s="4"/>
      <c r="I188" s="4"/>
      <c r="J188" s="4" t="s">
        <v>335</v>
      </c>
      <c r="K188" s="4" t="s">
        <v>39</v>
      </c>
      <c r="L188" s="4" t="str">
        <f>"0"</f>
        <v>0</v>
      </c>
      <c r="M188" s="3" t="str">
        <f>IF(H188 = "","",MONTH(H188))</f>
        <v/>
      </c>
      <c r="N188" s="3" t="str">
        <f>IF(H188 = "","",YEAR(H188))</f>
        <v/>
      </c>
      <c r="O188" s="6" t="str">
        <f t="shared" si="11"/>
        <v>-</v>
      </c>
      <c r="P188" s="6" t="str">
        <f t="shared" si="12"/>
        <v>-</v>
      </c>
      <c r="Q188" s="6" t="str">
        <f t="shared" si="13"/>
        <v>-</v>
      </c>
      <c r="R188" s="6" t="str">
        <f t="shared" si="14"/>
        <v>-</v>
      </c>
      <c r="S188" s="6" t="str">
        <f t="shared" si="15"/>
        <v>-</v>
      </c>
    </row>
    <row r="189" spans="1:19" ht="14.1" customHeight="1" thickBot="1" x14ac:dyDescent="0.25">
      <c r="A189" s="4" t="str">
        <f>"0922"</f>
        <v>0922</v>
      </c>
      <c r="B189" s="5">
        <v>40092</v>
      </c>
      <c r="C189" s="4"/>
      <c r="D189" s="4" t="str">
        <f>"10002"</f>
        <v>10002</v>
      </c>
      <c r="E189" s="4"/>
      <c r="F189" s="4"/>
      <c r="G189" s="4"/>
      <c r="H189" s="4"/>
      <c r="I189" s="4" t="s">
        <v>336</v>
      </c>
      <c r="J189" s="4" t="s">
        <v>300</v>
      </c>
      <c r="K189" s="4" t="s">
        <v>39</v>
      </c>
      <c r="L189" s="4" t="s">
        <v>162</v>
      </c>
      <c r="M189" s="3" t="str">
        <f>IF(H189 = "","",MONTH(H189))</f>
        <v/>
      </c>
      <c r="N189" s="3" t="str">
        <f>IF(H189 = "","",YEAR(H189))</f>
        <v/>
      </c>
      <c r="O189" s="6" t="str">
        <f t="shared" si="11"/>
        <v>-</v>
      </c>
      <c r="P189" s="6" t="str">
        <f t="shared" si="12"/>
        <v>-</v>
      </c>
      <c r="Q189" s="6" t="str">
        <f t="shared" si="13"/>
        <v>-</v>
      </c>
      <c r="R189" s="6" t="str">
        <f t="shared" si="14"/>
        <v>-</v>
      </c>
      <c r="S189" s="6" t="str">
        <f t="shared" si="15"/>
        <v>-</v>
      </c>
    </row>
    <row r="190" spans="1:19" ht="14.1" customHeight="1" thickBot="1" x14ac:dyDescent="0.25">
      <c r="A190" s="4" t="str">
        <f>"0923"</f>
        <v>0923</v>
      </c>
      <c r="B190" s="5">
        <v>40091</v>
      </c>
      <c r="C190" s="4"/>
      <c r="D190" s="4" t="str">
        <f>"10001"</f>
        <v>10001</v>
      </c>
      <c r="E190" s="4"/>
      <c r="F190" s="4"/>
      <c r="G190" s="4"/>
      <c r="H190" s="4"/>
      <c r="I190" s="4" t="s">
        <v>337</v>
      </c>
      <c r="J190" s="4" t="s">
        <v>338</v>
      </c>
      <c r="K190" s="4" t="s">
        <v>39</v>
      </c>
      <c r="L190" s="4" t="s">
        <v>86</v>
      </c>
      <c r="M190" s="3" t="str">
        <f>IF(H190 = "","",MONTH(H190))</f>
        <v/>
      </c>
      <c r="N190" s="3" t="str">
        <f>IF(H190 = "","",YEAR(H190))</f>
        <v/>
      </c>
      <c r="O190" s="6" t="str">
        <f t="shared" si="11"/>
        <v>-</v>
      </c>
      <c r="P190" s="6" t="str">
        <f t="shared" si="12"/>
        <v>-</v>
      </c>
      <c r="Q190" s="6" t="str">
        <f t="shared" si="13"/>
        <v>-</v>
      </c>
      <c r="R190" s="6" t="str">
        <f t="shared" si="14"/>
        <v>-</v>
      </c>
      <c r="S190" s="6" t="str">
        <f t="shared" si="15"/>
        <v>-</v>
      </c>
    </row>
    <row r="191" spans="1:19" ht="14.1" customHeight="1" thickBot="1" x14ac:dyDescent="0.25">
      <c r="A191" s="4" t="str">
        <f>"0921"</f>
        <v>0921</v>
      </c>
      <c r="B191" s="5">
        <v>40087</v>
      </c>
      <c r="C191" s="4"/>
      <c r="D191" s="4"/>
      <c r="E191" s="4"/>
      <c r="F191" s="4"/>
      <c r="G191" s="4"/>
      <c r="H191" s="4"/>
      <c r="I191" s="4"/>
      <c r="J191" s="4" t="s">
        <v>339</v>
      </c>
      <c r="K191" s="4" t="s">
        <v>340</v>
      </c>
      <c r="L191" s="4" t="str">
        <f>"0"</f>
        <v>0</v>
      </c>
      <c r="M191" s="3" t="str">
        <f>IF(H191 = "","",MONTH(H191))</f>
        <v/>
      </c>
      <c r="N191" s="3" t="str">
        <f>IF(H191 = "","",YEAR(H191))</f>
        <v/>
      </c>
      <c r="O191" s="6" t="str">
        <f t="shared" si="11"/>
        <v>-</v>
      </c>
      <c r="P191" s="6" t="str">
        <f t="shared" si="12"/>
        <v>-</v>
      </c>
      <c r="Q191" s="6" t="str">
        <f t="shared" si="13"/>
        <v>-</v>
      </c>
      <c r="R191" s="6" t="str">
        <f t="shared" si="14"/>
        <v>-</v>
      </c>
      <c r="S191" s="6" t="str">
        <f t="shared" si="15"/>
        <v>-</v>
      </c>
    </row>
    <row r="192" spans="1:19" ht="14.1" customHeight="1" thickBot="1" x14ac:dyDescent="0.25">
      <c r="A192" s="4" t="str">
        <f>"0919"</f>
        <v>0919</v>
      </c>
      <c r="B192" s="5">
        <v>40084</v>
      </c>
      <c r="C192" s="4"/>
      <c r="D192" s="4"/>
      <c r="E192" s="4"/>
      <c r="F192" s="4"/>
      <c r="G192" s="4"/>
      <c r="H192" s="4"/>
      <c r="I192" s="4"/>
      <c r="J192" s="4" t="s">
        <v>341</v>
      </c>
      <c r="K192" s="4" t="s">
        <v>39</v>
      </c>
      <c r="L192" s="4" t="str">
        <f>"0"</f>
        <v>0</v>
      </c>
      <c r="M192" s="3" t="str">
        <f>IF(H192 = "","",MONTH(H192))</f>
        <v/>
      </c>
      <c r="N192" s="3" t="str">
        <f>IF(H192 = "","",YEAR(H192))</f>
        <v/>
      </c>
      <c r="O192" s="6" t="str">
        <f t="shared" si="11"/>
        <v>-</v>
      </c>
      <c r="P192" s="6" t="str">
        <f t="shared" si="12"/>
        <v>-</v>
      </c>
      <c r="Q192" s="6" t="str">
        <f t="shared" si="13"/>
        <v>-</v>
      </c>
      <c r="R192" s="6" t="str">
        <f t="shared" si="14"/>
        <v>-</v>
      </c>
      <c r="S192" s="6" t="str">
        <f t="shared" si="15"/>
        <v>-</v>
      </c>
    </row>
    <row r="193" spans="1:19" ht="14.1" customHeight="1" thickBot="1" x14ac:dyDescent="0.25">
      <c r="A193" s="4" t="str">
        <f>"0917"</f>
        <v>0917</v>
      </c>
      <c r="B193" s="5">
        <v>40077</v>
      </c>
      <c r="C193" s="4"/>
      <c r="D193" s="4"/>
      <c r="E193" s="4"/>
      <c r="F193" s="4"/>
      <c r="G193" s="4"/>
      <c r="H193" s="4"/>
      <c r="I193" s="4" t="s">
        <v>342</v>
      </c>
      <c r="J193" s="4" t="s">
        <v>343</v>
      </c>
      <c r="K193" s="4" t="s">
        <v>90</v>
      </c>
      <c r="L193" s="4" t="str">
        <f>"0"</f>
        <v>0</v>
      </c>
      <c r="M193" s="3" t="str">
        <f>IF(H193 = "","",MONTH(H193))</f>
        <v/>
      </c>
      <c r="N193" s="3" t="str">
        <f>IF(H193 = "","",YEAR(H193))</f>
        <v/>
      </c>
      <c r="O193" s="6" t="str">
        <f t="shared" si="11"/>
        <v>-</v>
      </c>
      <c r="P193" s="6" t="str">
        <f t="shared" si="12"/>
        <v>-</v>
      </c>
      <c r="Q193" s="6" t="str">
        <f t="shared" si="13"/>
        <v>-</v>
      </c>
      <c r="R193" s="6" t="str">
        <f t="shared" si="14"/>
        <v>-</v>
      </c>
      <c r="S193" s="6" t="str">
        <f t="shared" si="15"/>
        <v>-</v>
      </c>
    </row>
    <row r="194" spans="1:19" ht="14.1" customHeight="1" thickBot="1" x14ac:dyDescent="0.25">
      <c r="A194" s="4" t="str">
        <f>"0920"</f>
        <v>0920</v>
      </c>
      <c r="B194" s="5">
        <v>40077</v>
      </c>
      <c r="C194" s="4"/>
      <c r="D194" s="4" t="str">
        <f>"09006"</f>
        <v>09006</v>
      </c>
      <c r="E194" s="4"/>
      <c r="F194" s="4"/>
      <c r="G194" s="4"/>
      <c r="H194" s="4"/>
      <c r="I194" s="4" t="s">
        <v>344</v>
      </c>
      <c r="J194" s="4" t="s">
        <v>345</v>
      </c>
      <c r="K194" s="4" t="s">
        <v>39</v>
      </c>
      <c r="L194" s="4" t="s">
        <v>21</v>
      </c>
      <c r="M194" s="3" t="str">
        <f>IF(H194 = "","",MONTH(H194))</f>
        <v/>
      </c>
      <c r="N194" s="3" t="str">
        <f>IF(H194 = "","",YEAR(H194))</f>
        <v/>
      </c>
      <c r="O194" s="6" t="str">
        <f t="shared" si="11"/>
        <v>-</v>
      </c>
      <c r="P194" s="6" t="str">
        <f t="shared" si="12"/>
        <v>-</v>
      </c>
      <c r="Q194" s="6" t="str">
        <f t="shared" si="13"/>
        <v>-</v>
      </c>
      <c r="R194" s="6" t="str">
        <f t="shared" si="14"/>
        <v>-</v>
      </c>
      <c r="S194" s="6" t="str">
        <f t="shared" si="15"/>
        <v>-</v>
      </c>
    </row>
    <row r="195" spans="1:19" ht="14.1" customHeight="1" thickBot="1" x14ac:dyDescent="0.25">
      <c r="A195" s="4" t="str">
        <f>"0918"</f>
        <v>0918</v>
      </c>
      <c r="B195" s="5">
        <v>40067</v>
      </c>
      <c r="C195" s="4"/>
      <c r="D195" s="4" t="str">
        <f>"09005"</f>
        <v>09005</v>
      </c>
      <c r="E195" s="5">
        <v>40114</v>
      </c>
      <c r="F195" s="5">
        <v>40098</v>
      </c>
      <c r="G195" s="5">
        <v>40291</v>
      </c>
      <c r="H195" s="5">
        <v>40311</v>
      </c>
      <c r="I195" s="4" t="s">
        <v>346</v>
      </c>
      <c r="J195" s="4" t="s">
        <v>202</v>
      </c>
      <c r="K195" s="4" t="s">
        <v>90</v>
      </c>
      <c r="L195" s="4" t="s">
        <v>21</v>
      </c>
      <c r="M195" s="3">
        <f>IF(H195 = "","",MONTH(H195))</f>
        <v>5</v>
      </c>
      <c r="N195" s="3">
        <f>IF(H195 = "","",YEAR(H195))</f>
        <v>2010</v>
      </c>
      <c r="O195" s="6">
        <f t="shared" si="11"/>
        <v>47</v>
      </c>
      <c r="P195" s="6" t="str">
        <f t="shared" si="12"/>
        <v>-</v>
      </c>
      <c r="Q195" s="6">
        <f t="shared" si="13"/>
        <v>-16</v>
      </c>
      <c r="R195" s="6">
        <f t="shared" si="14"/>
        <v>175</v>
      </c>
      <c r="S195" s="6">
        <f t="shared" si="15"/>
        <v>195</v>
      </c>
    </row>
    <row r="196" spans="1:19" ht="14.1" customHeight="1" thickBot="1" x14ac:dyDescent="0.25">
      <c r="A196" s="4" t="str">
        <f>"0916"</f>
        <v>0916</v>
      </c>
      <c r="B196" s="5">
        <v>40060</v>
      </c>
      <c r="C196" s="4"/>
      <c r="D196" s="4" t="str">
        <f>"09004"</f>
        <v>09004</v>
      </c>
      <c r="E196" s="5">
        <v>40070</v>
      </c>
      <c r="F196" s="5">
        <v>40071</v>
      </c>
      <c r="G196" s="4"/>
      <c r="H196" s="5">
        <v>40071</v>
      </c>
      <c r="I196" s="4" t="s">
        <v>347</v>
      </c>
      <c r="J196" s="4" t="s">
        <v>348</v>
      </c>
      <c r="K196" s="4" t="s">
        <v>39</v>
      </c>
      <c r="L196" s="4" t="s">
        <v>21</v>
      </c>
      <c r="M196" s="3">
        <f>IF(H196 = "","",MONTH(H196))</f>
        <v>9</v>
      </c>
      <c r="N196" s="3">
        <f>IF(H196 = "","",YEAR(H196))</f>
        <v>2009</v>
      </c>
      <c r="O196" s="6">
        <f t="shared" si="11"/>
        <v>10</v>
      </c>
      <c r="P196" s="6" t="str">
        <f t="shared" si="12"/>
        <v>-</v>
      </c>
      <c r="Q196" s="6">
        <f t="shared" si="13"/>
        <v>1</v>
      </c>
      <c r="R196" s="6" t="str">
        <f t="shared" si="14"/>
        <v>-</v>
      </c>
      <c r="S196" s="6">
        <f t="shared" si="15"/>
        <v>1</v>
      </c>
    </row>
    <row r="197" spans="1:19" ht="14.1" customHeight="1" thickBot="1" x14ac:dyDescent="0.25">
      <c r="A197" s="4" t="str">
        <f>"0915"</f>
        <v>0915</v>
      </c>
      <c r="B197" s="5">
        <v>40025</v>
      </c>
      <c r="C197" s="4"/>
      <c r="D197" s="4"/>
      <c r="E197" s="4"/>
      <c r="F197" s="4"/>
      <c r="G197" s="4"/>
      <c r="H197" s="4"/>
      <c r="I197" s="4"/>
      <c r="J197" s="4" t="s">
        <v>349</v>
      </c>
      <c r="K197" s="4" t="s">
        <v>39</v>
      </c>
      <c r="L197" s="4" t="str">
        <f>"0"</f>
        <v>0</v>
      </c>
      <c r="M197" s="3" t="str">
        <f>IF(H197 = "","",MONTH(H197))</f>
        <v/>
      </c>
      <c r="N197" s="3" t="str">
        <f>IF(H197 = "","",YEAR(H197))</f>
        <v/>
      </c>
      <c r="O197" s="6" t="str">
        <f t="shared" si="11"/>
        <v>-</v>
      </c>
      <c r="P197" s="6" t="str">
        <f t="shared" si="12"/>
        <v>-</v>
      </c>
      <c r="Q197" s="6" t="str">
        <f t="shared" si="13"/>
        <v>-</v>
      </c>
      <c r="R197" s="6" t="str">
        <f t="shared" si="14"/>
        <v>-</v>
      </c>
      <c r="S197" s="6" t="str">
        <f t="shared" si="15"/>
        <v>-</v>
      </c>
    </row>
    <row r="198" spans="1:19" ht="14.1" customHeight="1" thickBot="1" x14ac:dyDescent="0.25">
      <c r="A198" s="4" t="str">
        <f>"0914"</f>
        <v>0914</v>
      </c>
      <c r="B198" s="5">
        <v>40021</v>
      </c>
      <c r="C198" s="4"/>
      <c r="D198" s="4"/>
      <c r="E198" s="4"/>
      <c r="F198" s="4"/>
      <c r="G198" s="4"/>
      <c r="H198" s="4"/>
      <c r="I198" s="4"/>
      <c r="J198" s="4" t="s">
        <v>350</v>
      </c>
      <c r="K198" s="4" t="s">
        <v>39</v>
      </c>
      <c r="L198" s="4" t="str">
        <f>"0"</f>
        <v>0</v>
      </c>
      <c r="M198" s="3" t="str">
        <f>IF(H198 = "","",MONTH(H198))</f>
        <v/>
      </c>
      <c r="N198" s="3" t="str">
        <f>IF(H198 = "","",YEAR(H198))</f>
        <v/>
      </c>
      <c r="O198" s="6" t="str">
        <f t="shared" si="11"/>
        <v>-</v>
      </c>
      <c r="P198" s="6" t="str">
        <f t="shared" si="12"/>
        <v>-</v>
      </c>
      <c r="Q198" s="6" t="str">
        <f t="shared" si="13"/>
        <v>-</v>
      </c>
      <c r="R198" s="6" t="str">
        <f t="shared" si="14"/>
        <v>-</v>
      </c>
      <c r="S198" s="6" t="str">
        <f t="shared" si="15"/>
        <v>-</v>
      </c>
    </row>
    <row r="199" spans="1:19" ht="14.1" customHeight="1" thickBot="1" x14ac:dyDescent="0.25">
      <c r="A199" s="4" t="str">
        <f>"0913"</f>
        <v>0913</v>
      </c>
      <c r="B199" s="5">
        <v>40021</v>
      </c>
      <c r="C199" s="4"/>
      <c r="D199" s="4" t="str">
        <f>"09003"</f>
        <v>09003</v>
      </c>
      <c r="E199" s="4"/>
      <c r="F199" s="4"/>
      <c r="G199" s="4"/>
      <c r="H199" s="5">
        <v>41360</v>
      </c>
      <c r="I199" s="4" t="s">
        <v>351</v>
      </c>
      <c r="J199" s="4" t="s">
        <v>352</v>
      </c>
      <c r="K199" s="4" t="s">
        <v>39</v>
      </c>
      <c r="L199" s="4" t="s">
        <v>21</v>
      </c>
      <c r="M199" s="3">
        <f>IF(H199 = "","",MONTH(H199))</f>
        <v>3</v>
      </c>
      <c r="N199" s="3">
        <f>IF(H199 = "","",YEAR(H199))</f>
        <v>2013</v>
      </c>
      <c r="O199" s="6" t="str">
        <f t="shared" ref="O199:O262" si="16">IF(B199="","-",IF(E199="","-",DAYS360(B199,E199)))</f>
        <v>-</v>
      </c>
      <c r="P199" s="6" t="str">
        <f t="shared" ref="P199:P262" si="17">IF(C199="","-",IF(E199="","-",DAYS360(C199,E199)))</f>
        <v>-</v>
      </c>
      <c r="Q199" s="6" t="str">
        <f t="shared" ref="Q199:Q262" si="18">IF(E199="","-",IF(F199="","-",DAYS360(E199,F199)))</f>
        <v>-</v>
      </c>
      <c r="R199" s="6" t="str">
        <f t="shared" ref="R199:R262" si="19">IF(E199="","-",IF(G199="","-",DAYS360(E199,G199)))</f>
        <v>-</v>
      </c>
      <c r="S199" s="6" t="str">
        <f t="shared" ref="S199:S262" si="20">IF(E199="","-",IF(H199="","-",DAYS360(E199,H199)))</f>
        <v>-</v>
      </c>
    </row>
    <row r="200" spans="1:19" ht="14.1" customHeight="1" thickBot="1" x14ac:dyDescent="0.25">
      <c r="A200" s="4" t="str">
        <f>"0911"</f>
        <v>0911</v>
      </c>
      <c r="B200" s="5">
        <v>40017</v>
      </c>
      <c r="C200" s="4"/>
      <c r="D200" s="4"/>
      <c r="E200" s="4"/>
      <c r="F200" s="4"/>
      <c r="G200" s="4"/>
      <c r="H200" s="4"/>
      <c r="I200" s="4"/>
      <c r="J200" s="4" t="s">
        <v>353</v>
      </c>
      <c r="K200" s="4" t="s">
        <v>39</v>
      </c>
      <c r="L200" s="4" t="str">
        <f>"0"</f>
        <v>0</v>
      </c>
      <c r="M200" s="3" t="str">
        <f>IF(H200 = "","",MONTH(H200))</f>
        <v/>
      </c>
      <c r="N200" s="3" t="str">
        <f>IF(H200 = "","",YEAR(H200))</f>
        <v/>
      </c>
      <c r="O200" s="6" t="str">
        <f t="shared" si="16"/>
        <v>-</v>
      </c>
      <c r="P200" s="6" t="str">
        <f t="shared" si="17"/>
        <v>-</v>
      </c>
      <c r="Q200" s="6" t="str">
        <f t="shared" si="18"/>
        <v>-</v>
      </c>
      <c r="R200" s="6" t="str">
        <f t="shared" si="19"/>
        <v>-</v>
      </c>
      <c r="S200" s="6" t="str">
        <f t="shared" si="20"/>
        <v>-</v>
      </c>
    </row>
    <row r="201" spans="1:19" ht="14.1" customHeight="1" thickBot="1" x14ac:dyDescent="0.25">
      <c r="A201" s="4" t="str">
        <f>"0925"</f>
        <v>0925</v>
      </c>
      <c r="B201" s="5">
        <v>40014</v>
      </c>
      <c r="C201" s="4"/>
      <c r="D201" s="4"/>
      <c r="E201" s="4"/>
      <c r="F201" s="4"/>
      <c r="G201" s="4"/>
      <c r="H201" s="4"/>
      <c r="I201" s="4"/>
      <c r="J201" s="4" t="s">
        <v>354</v>
      </c>
      <c r="K201" s="4" t="s">
        <v>90</v>
      </c>
      <c r="L201" s="4" t="str">
        <f>"1"</f>
        <v>1</v>
      </c>
      <c r="M201" s="3" t="str">
        <f>IF(H201 = "","",MONTH(H201))</f>
        <v/>
      </c>
      <c r="N201" s="3" t="str">
        <f>IF(H201 = "","",YEAR(H201))</f>
        <v/>
      </c>
      <c r="O201" s="6" t="str">
        <f t="shared" si="16"/>
        <v>-</v>
      </c>
      <c r="P201" s="6" t="str">
        <f t="shared" si="17"/>
        <v>-</v>
      </c>
      <c r="Q201" s="6" t="str">
        <f t="shared" si="18"/>
        <v>-</v>
      </c>
      <c r="R201" s="6" t="str">
        <f t="shared" si="19"/>
        <v>-</v>
      </c>
      <c r="S201" s="6" t="str">
        <f t="shared" si="20"/>
        <v>-</v>
      </c>
    </row>
    <row r="202" spans="1:19" ht="14.1" customHeight="1" thickBot="1" x14ac:dyDescent="0.25">
      <c r="A202" s="4" t="str">
        <f>"0910"</f>
        <v>0910</v>
      </c>
      <c r="B202" s="5">
        <v>40010</v>
      </c>
      <c r="C202" s="4"/>
      <c r="D202" s="4"/>
      <c r="E202" s="4"/>
      <c r="F202" s="4"/>
      <c r="G202" s="4"/>
      <c r="H202" s="4"/>
      <c r="I202" s="4"/>
      <c r="J202" s="4" t="s">
        <v>355</v>
      </c>
      <c r="K202" s="4" t="s">
        <v>39</v>
      </c>
      <c r="L202" s="4" t="str">
        <f>"0"</f>
        <v>0</v>
      </c>
      <c r="M202" s="3" t="str">
        <f>IF(H202 = "","",MONTH(H202))</f>
        <v/>
      </c>
      <c r="N202" s="3" t="str">
        <f>IF(H202 = "","",YEAR(H202))</f>
        <v/>
      </c>
      <c r="O202" s="6" t="str">
        <f t="shared" si="16"/>
        <v>-</v>
      </c>
      <c r="P202" s="6" t="str">
        <f t="shared" si="17"/>
        <v>-</v>
      </c>
      <c r="Q202" s="6" t="str">
        <f t="shared" si="18"/>
        <v>-</v>
      </c>
      <c r="R202" s="6" t="str">
        <f t="shared" si="19"/>
        <v>-</v>
      </c>
      <c r="S202" s="6" t="str">
        <f t="shared" si="20"/>
        <v>-</v>
      </c>
    </row>
    <row r="203" spans="1:19" ht="14.1" customHeight="1" thickBot="1" x14ac:dyDescent="0.25">
      <c r="A203" s="4" t="str">
        <f>"0912"</f>
        <v>0912</v>
      </c>
      <c r="B203" s="5">
        <v>40009</v>
      </c>
      <c r="C203" s="4"/>
      <c r="D203" s="4"/>
      <c r="E203" s="4"/>
      <c r="F203" s="4"/>
      <c r="G203" s="4"/>
      <c r="H203" s="4"/>
      <c r="I203" s="4"/>
      <c r="J203" s="4" t="s">
        <v>356</v>
      </c>
      <c r="K203" s="4"/>
      <c r="L203" s="4" t="str">
        <f>"1"</f>
        <v>1</v>
      </c>
      <c r="M203" s="3" t="str">
        <f>IF(H203 = "","",MONTH(H203))</f>
        <v/>
      </c>
      <c r="N203" s="3" t="str">
        <f>IF(H203 = "","",YEAR(H203))</f>
        <v/>
      </c>
      <c r="O203" s="6" t="str">
        <f t="shared" si="16"/>
        <v>-</v>
      </c>
      <c r="P203" s="6" t="str">
        <f t="shared" si="17"/>
        <v>-</v>
      </c>
      <c r="Q203" s="6" t="str">
        <f t="shared" si="18"/>
        <v>-</v>
      </c>
      <c r="R203" s="6" t="str">
        <f t="shared" si="19"/>
        <v>-</v>
      </c>
      <c r="S203" s="6" t="str">
        <f t="shared" si="20"/>
        <v>-</v>
      </c>
    </row>
    <row r="204" spans="1:19" ht="14.1" customHeight="1" thickBot="1" x14ac:dyDescent="0.25">
      <c r="A204" s="4" t="str">
        <f>"0908"</f>
        <v>0908</v>
      </c>
      <c r="B204" s="5">
        <v>40000</v>
      </c>
      <c r="C204" s="4"/>
      <c r="D204" s="4"/>
      <c r="E204" s="4"/>
      <c r="F204" s="4"/>
      <c r="G204" s="4"/>
      <c r="H204" s="4"/>
      <c r="I204" s="4"/>
      <c r="J204" s="4" t="s">
        <v>357</v>
      </c>
      <c r="K204" s="4" t="s">
        <v>358</v>
      </c>
      <c r="L204" s="4" t="str">
        <f t="shared" ref="L204:L211" si="21">"0"</f>
        <v>0</v>
      </c>
      <c r="M204" s="3" t="str">
        <f>IF(H204 = "","",MONTH(H204))</f>
        <v/>
      </c>
      <c r="N204" s="3" t="str">
        <f>IF(H204 = "","",YEAR(H204))</f>
        <v/>
      </c>
      <c r="O204" s="6" t="str">
        <f t="shared" si="16"/>
        <v>-</v>
      </c>
      <c r="P204" s="6" t="str">
        <f t="shared" si="17"/>
        <v>-</v>
      </c>
      <c r="Q204" s="6" t="str">
        <f t="shared" si="18"/>
        <v>-</v>
      </c>
      <c r="R204" s="6" t="str">
        <f t="shared" si="19"/>
        <v>-</v>
      </c>
      <c r="S204" s="6" t="str">
        <f t="shared" si="20"/>
        <v>-</v>
      </c>
    </row>
    <row r="205" spans="1:19" ht="14.1" customHeight="1" thickBot="1" x14ac:dyDescent="0.25">
      <c r="A205" s="4" t="str">
        <f>"0909"</f>
        <v>0909</v>
      </c>
      <c r="B205" s="5">
        <v>39995</v>
      </c>
      <c r="C205" s="4"/>
      <c r="D205" s="4"/>
      <c r="E205" s="4"/>
      <c r="F205" s="4"/>
      <c r="G205" s="4"/>
      <c r="H205" s="4"/>
      <c r="I205" s="4" t="s">
        <v>359</v>
      </c>
      <c r="J205" s="4" t="s">
        <v>360</v>
      </c>
      <c r="K205" s="4" t="s">
        <v>39</v>
      </c>
      <c r="L205" s="4" t="str">
        <f t="shared" si="21"/>
        <v>0</v>
      </c>
      <c r="M205" s="3" t="str">
        <f>IF(H205 = "","",MONTH(H205))</f>
        <v/>
      </c>
      <c r="N205" s="3" t="str">
        <f>IF(H205 = "","",YEAR(H205))</f>
        <v/>
      </c>
      <c r="O205" s="6" t="str">
        <f t="shared" si="16"/>
        <v>-</v>
      </c>
      <c r="P205" s="6" t="str">
        <f t="shared" si="17"/>
        <v>-</v>
      </c>
      <c r="Q205" s="6" t="str">
        <f t="shared" si="18"/>
        <v>-</v>
      </c>
      <c r="R205" s="6" t="str">
        <f t="shared" si="19"/>
        <v>-</v>
      </c>
      <c r="S205" s="6" t="str">
        <f t="shared" si="20"/>
        <v>-</v>
      </c>
    </row>
    <row r="206" spans="1:19" ht="14.1" customHeight="1" thickBot="1" x14ac:dyDescent="0.25">
      <c r="A206" s="4" t="str">
        <f>"0903"</f>
        <v>0903</v>
      </c>
      <c r="B206" s="5">
        <v>39969</v>
      </c>
      <c r="C206" s="4"/>
      <c r="D206" s="4"/>
      <c r="E206" s="4"/>
      <c r="F206" s="4"/>
      <c r="G206" s="4"/>
      <c r="H206" s="4"/>
      <c r="I206" s="4"/>
      <c r="J206" s="4" t="s">
        <v>361</v>
      </c>
      <c r="K206" s="4" t="s">
        <v>362</v>
      </c>
      <c r="L206" s="4" t="str">
        <f t="shared" si="21"/>
        <v>0</v>
      </c>
      <c r="M206" s="3" t="str">
        <f>IF(H206 = "","",MONTH(H206))</f>
        <v/>
      </c>
      <c r="N206" s="3" t="str">
        <f>IF(H206 = "","",YEAR(H206))</f>
        <v/>
      </c>
      <c r="O206" s="6" t="str">
        <f t="shared" si="16"/>
        <v>-</v>
      </c>
      <c r="P206" s="6" t="str">
        <f t="shared" si="17"/>
        <v>-</v>
      </c>
      <c r="Q206" s="6" t="str">
        <f t="shared" si="18"/>
        <v>-</v>
      </c>
      <c r="R206" s="6" t="str">
        <f t="shared" si="19"/>
        <v>-</v>
      </c>
      <c r="S206" s="6" t="str">
        <f t="shared" si="20"/>
        <v>-</v>
      </c>
    </row>
    <row r="207" spans="1:19" ht="14.1" customHeight="1" thickBot="1" x14ac:dyDescent="0.25">
      <c r="A207" s="4" t="str">
        <f>"0905"</f>
        <v>0905</v>
      </c>
      <c r="B207" s="5">
        <v>39948</v>
      </c>
      <c r="C207" s="4"/>
      <c r="D207" s="4"/>
      <c r="E207" s="4"/>
      <c r="F207" s="4"/>
      <c r="G207" s="4"/>
      <c r="H207" s="4"/>
      <c r="I207" s="4"/>
      <c r="J207" s="4" t="s">
        <v>363</v>
      </c>
      <c r="K207" s="4" t="s">
        <v>364</v>
      </c>
      <c r="L207" s="4" t="str">
        <f t="shared" si="21"/>
        <v>0</v>
      </c>
      <c r="M207" s="3" t="str">
        <f>IF(H207 = "","",MONTH(H207))</f>
        <v/>
      </c>
      <c r="N207" s="3" t="str">
        <f>IF(H207 = "","",YEAR(H207))</f>
        <v/>
      </c>
      <c r="O207" s="6" t="str">
        <f t="shared" si="16"/>
        <v>-</v>
      </c>
      <c r="P207" s="6" t="str">
        <f t="shared" si="17"/>
        <v>-</v>
      </c>
      <c r="Q207" s="6" t="str">
        <f t="shared" si="18"/>
        <v>-</v>
      </c>
      <c r="R207" s="6" t="str">
        <f t="shared" si="19"/>
        <v>-</v>
      </c>
      <c r="S207" s="6" t="str">
        <f t="shared" si="20"/>
        <v>-</v>
      </c>
    </row>
    <row r="208" spans="1:19" ht="14.1" customHeight="1" thickBot="1" x14ac:dyDescent="0.25">
      <c r="A208" s="4" t="str">
        <f>"0904"</f>
        <v>0904</v>
      </c>
      <c r="B208" s="5">
        <v>39934</v>
      </c>
      <c r="C208" s="4"/>
      <c r="D208" s="4"/>
      <c r="E208" s="4"/>
      <c r="F208" s="4"/>
      <c r="G208" s="4"/>
      <c r="H208" s="4"/>
      <c r="I208" s="4"/>
      <c r="J208" s="4" t="s">
        <v>365</v>
      </c>
      <c r="K208" s="4" t="s">
        <v>364</v>
      </c>
      <c r="L208" s="4" t="str">
        <f t="shared" si="21"/>
        <v>0</v>
      </c>
      <c r="M208" s="3" t="str">
        <f>IF(H208 = "","",MONTH(H208))</f>
        <v/>
      </c>
      <c r="N208" s="3" t="str">
        <f>IF(H208 = "","",YEAR(H208))</f>
        <v/>
      </c>
      <c r="O208" s="6" t="str">
        <f t="shared" si="16"/>
        <v>-</v>
      </c>
      <c r="P208" s="6" t="str">
        <f t="shared" si="17"/>
        <v>-</v>
      </c>
      <c r="Q208" s="6" t="str">
        <f t="shared" si="18"/>
        <v>-</v>
      </c>
      <c r="R208" s="6" t="str">
        <f t="shared" si="19"/>
        <v>-</v>
      </c>
      <c r="S208" s="6" t="str">
        <f t="shared" si="20"/>
        <v>-</v>
      </c>
    </row>
    <row r="209" spans="1:19" ht="14.1" customHeight="1" thickBot="1" x14ac:dyDescent="0.25">
      <c r="A209" s="4" t="str">
        <f>"0902"</f>
        <v>0902</v>
      </c>
      <c r="B209" s="5">
        <v>39919</v>
      </c>
      <c r="C209" s="4"/>
      <c r="D209" s="4"/>
      <c r="E209" s="4"/>
      <c r="F209" s="4"/>
      <c r="G209" s="4"/>
      <c r="H209" s="4"/>
      <c r="I209" s="4"/>
      <c r="J209" s="4" t="s">
        <v>366</v>
      </c>
      <c r="K209" s="4"/>
      <c r="L209" s="4" t="str">
        <f t="shared" si="21"/>
        <v>0</v>
      </c>
      <c r="M209" s="3" t="str">
        <f>IF(H209 = "","",MONTH(H209))</f>
        <v/>
      </c>
      <c r="N209" s="3" t="str">
        <f>IF(H209 = "","",YEAR(H209))</f>
        <v/>
      </c>
      <c r="O209" s="6" t="str">
        <f t="shared" si="16"/>
        <v>-</v>
      </c>
      <c r="P209" s="6" t="str">
        <f t="shared" si="17"/>
        <v>-</v>
      </c>
      <c r="Q209" s="6" t="str">
        <f t="shared" si="18"/>
        <v>-</v>
      </c>
      <c r="R209" s="6" t="str">
        <f t="shared" si="19"/>
        <v>-</v>
      </c>
      <c r="S209" s="6" t="str">
        <f t="shared" si="20"/>
        <v>-</v>
      </c>
    </row>
    <row r="210" spans="1:19" ht="14.1" customHeight="1" thickBot="1" x14ac:dyDescent="0.25">
      <c r="A210" s="4" t="str">
        <f>"0907"</f>
        <v>0907</v>
      </c>
      <c r="B210" s="5">
        <v>39873</v>
      </c>
      <c r="C210" s="4"/>
      <c r="D210" s="4"/>
      <c r="E210" s="4"/>
      <c r="F210" s="4"/>
      <c r="G210" s="4"/>
      <c r="H210" s="4"/>
      <c r="I210" s="4"/>
      <c r="J210" s="4" t="s">
        <v>367</v>
      </c>
      <c r="K210" s="4" t="s">
        <v>97</v>
      </c>
      <c r="L210" s="4" t="str">
        <f t="shared" si="21"/>
        <v>0</v>
      </c>
      <c r="M210" s="3" t="str">
        <f>IF(H210 = "","",MONTH(H210))</f>
        <v/>
      </c>
      <c r="N210" s="3" t="str">
        <f>IF(H210 = "","",YEAR(H210))</f>
        <v/>
      </c>
      <c r="O210" s="6" t="str">
        <f t="shared" si="16"/>
        <v>-</v>
      </c>
      <c r="P210" s="6" t="str">
        <f t="shared" si="17"/>
        <v>-</v>
      </c>
      <c r="Q210" s="6" t="str">
        <f t="shared" si="18"/>
        <v>-</v>
      </c>
      <c r="R210" s="6" t="str">
        <f t="shared" si="19"/>
        <v>-</v>
      </c>
      <c r="S210" s="6" t="str">
        <f t="shared" si="20"/>
        <v>-</v>
      </c>
    </row>
    <row r="211" spans="1:19" ht="14.1" customHeight="1" thickBot="1" x14ac:dyDescent="0.25">
      <c r="A211" s="4" t="str">
        <f>"0901"</f>
        <v>0901</v>
      </c>
      <c r="B211" s="5">
        <v>39859</v>
      </c>
      <c r="C211" s="4"/>
      <c r="D211" s="4"/>
      <c r="E211" s="4"/>
      <c r="F211" s="4"/>
      <c r="G211" s="4"/>
      <c r="H211" s="4"/>
      <c r="I211" s="4" t="s">
        <v>368</v>
      </c>
      <c r="J211" s="4" t="s">
        <v>369</v>
      </c>
      <c r="K211" s="4" t="s">
        <v>90</v>
      </c>
      <c r="L211" s="4" t="str">
        <f t="shared" si="21"/>
        <v>0</v>
      </c>
      <c r="M211" s="3" t="str">
        <f>IF(H211 = "","",MONTH(H211))</f>
        <v/>
      </c>
      <c r="N211" s="3" t="str">
        <f>IF(H211 = "","",YEAR(H211))</f>
        <v/>
      </c>
      <c r="O211" s="6" t="str">
        <f t="shared" si="16"/>
        <v>-</v>
      </c>
      <c r="P211" s="6" t="str">
        <f t="shared" si="17"/>
        <v>-</v>
      </c>
      <c r="Q211" s="6" t="str">
        <f t="shared" si="18"/>
        <v>-</v>
      </c>
      <c r="R211" s="6" t="str">
        <f t="shared" si="19"/>
        <v>-</v>
      </c>
      <c r="S211" s="6" t="str">
        <f t="shared" si="20"/>
        <v>-</v>
      </c>
    </row>
    <row r="212" spans="1:19" ht="14.1" customHeight="1" thickBot="1" x14ac:dyDescent="0.25">
      <c r="A212" s="4" t="str">
        <f>"0810"</f>
        <v>0810</v>
      </c>
      <c r="B212" s="5">
        <v>39786</v>
      </c>
      <c r="C212" s="4"/>
      <c r="D212" s="4" t="str">
        <f>"09001"</f>
        <v>09001</v>
      </c>
      <c r="E212" s="4"/>
      <c r="F212" s="4"/>
      <c r="G212" s="4"/>
      <c r="H212" s="4"/>
      <c r="I212" s="4" t="s">
        <v>370</v>
      </c>
      <c r="J212" s="4" t="s">
        <v>371</v>
      </c>
      <c r="K212" s="4" t="s">
        <v>39</v>
      </c>
      <c r="L212" s="4" t="s">
        <v>21</v>
      </c>
      <c r="M212" s="3" t="str">
        <f>IF(H212 = "","",MONTH(H212))</f>
        <v/>
      </c>
      <c r="N212" s="3" t="str">
        <f>IF(H212 = "","",YEAR(H212))</f>
        <v/>
      </c>
      <c r="O212" s="6" t="str">
        <f t="shared" si="16"/>
        <v>-</v>
      </c>
      <c r="P212" s="6" t="str">
        <f t="shared" si="17"/>
        <v>-</v>
      </c>
      <c r="Q212" s="6" t="str">
        <f t="shared" si="18"/>
        <v>-</v>
      </c>
      <c r="R212" s="6" t="str">
        <f t="shared" si="19"/>
        <v>-</v>
      </c>
      <c r="S212" s="6" t="str">
        <f t="shared" si="20"/>
        <v>-</v>
      </c>
    </row>
    <row r="213" spans="1:19" ht="14.1" customHeight="1" thickBot="1" x14ac:dyDescent="0.25">
      <c r="A213" s="4" t="str">
        <f>"0900"</f>
        <v>0900</v>
      </c>
      <c r="B213" s="5">
        <v>39722</v>
      </c>
      <c r="C213" s="4"/>
      <c r="D213" s="4" t="str">
        <f>"09002"</f>
        <v>09002</v>
      </c>
      <c r="E213" s="4"/>
      <c r="F213" s="4"/>
      <c r="G213" s="4"/>
      <c r="H213" s="4"/>
      <c r="I213" s="4" t="s">
        <v>372</v>
      </c>
      <c r="J213" s="4" t="s">
        <v>373</v>
      </c>
      <c r="K213" s="4" t="s">
        <v>340</v>
      </c>
      <c r="L213" s="4" t="s">
        <v>21</v>
      </c>
      <c r="M213" s="3" t="str">
        <f>IF(H213 = "","",MONTH(H213))</f>
        <v/>
      </c>
      <c r="N213" s="3" t="str">
        <f>IF(H213 = "","",YEAR(H213))</f>
        <v/>
      </c>
      <c r="O213" s="6" t="str">
        <f t="shared" si="16"/>
        <v>-</v>
      </c>
      <c r="P213" s="6" t="str">
        <f t="shared" si="17"/>
        <v>-</v>
      </c>
      <c r="Q213" s="6" t="str">
        <f t="shared" si="18"/>
        <v>-</v>
      </c>
      <c r="R213" s="6" t="str">
        <f t="shared" si="19"/>
        <v>-</v>
      </c>
      <c r="S213" s="6" t="str">
        <f t="shared" si="20"/>
        <v>-</v>
      </c>
    </row>
    <row r="214" spans="1:19" ht="14.1" customHeight="1" thickBot="1" x14ac:dyDescent="0.25">
      <c r="A214" s="4" t="str">
        <f>"0906"</f>
        <v>0906</v>
      </c>
      <c r="B214" s="5">
        <v>39722</v>
      </c>
      <c r="C214" s="4"/>
      <c r="D214" s="4"/>
      <c r="E214" s="4"/>
      <c r="F214" s="4"/>
      <c r="G214" s="4"/>
      <c r="H214" s="4"/>
      <c r="I214" s="4"/>
      <c r="J214" s="4" t="s">
        <v>374</v>
      </c>
      <c r="K214" s="4" t="s">
        <v>375</v>
      </c>
      <c r="L214" s="4" t="str">
        <f>"0"</f>
        <v>0</v>
      </c>
      <c r="M214" s="3" t="str">
        <f>IF(H214 = "","",MONTH(H214))</f>
        <v/>
      </c>
      <c r="N214" s="3" t="str">
        <f>IF(H214 = "","",YEAR(H214))</f>
        <v/>
      </c>
      <c r="O214" s="6" t="str">
        <f t="shared" si="16"/>
        <v>-</v>
      </c>
      <c r="P214" s="6" t="str">
        <f t="shared" si="17"/>
        <v>-</v>
      </c>
      <c r="Q214" s="6" t="str">
        <f t="shared" si="18"/>
        <v>-</v>
      </c>
      <c r="R214" s="6" t="str">
        <f t="shared" si="19"/>
        <v>-</v>
      </c>
      <c r="S214" s="6" t="str">
        <f t="shared" si="20"/>
        <v>-</v>
      </c>
    </row>
    <row r="215" spans="1:19" ht="14.1" customHeight="1" thickBot="1" x14ac:dyDescent="0.25">
      <c r="A215" s="4" t="str">
        <f>"0809"</f>
        <v>0809</v>
      </c>
      <c r="B215" s="5">
        <v>39722</v>
      </c>
      <c r="C215" s="4"/>
      <c r="D215" s="4"/>
      <c r="E215" s="4"/>
      <c r="F215" s="4"/>
      <c r="G215" s="4"/>
      <c r="H215" s="4"/>
      <c r="I215" s="4" t="s">
        <v>376</v>
      </c>
      <c r="J215" s="4" t="s">
        <v>377</v>
      </c>
      <c r="K215" s="4" t="s">
        <v>378</v>
      </c>
      <c r="L215" s="4" t="str">
        <f>"1"</f>
        <v>1</v>
      </c>
      <c r="M215" s="3" t="str">
        <f>IF(H215 = "","",MONTH(H215))</f>
        <v/>
      </c>
      <c r="N215" s="3" t="str">
        <f>IF(H215 = "","",YEAR(H215))</f>
        <v/>
      </c>
      <c r="O215" s="6" t="str">
        <f t="shared" si="16"/>
        <v>-</v>
      </c>
      <c r="P215" s="6" t="str">
        <f t="shared" si="17"/>
        <v>-</v>
      </c>
      <c r="Q215" s="6" t="str">
        <f t="shared" si="18"/>
        <v>-</v>
      </c>
      <c r="R215" s="6" t="str">
        <f t="shared" si="19"/>
        <v>-</v>
      </c>
      <c r="S215" s="6" t="str">
        <f t="shared" si="20"/>
        <v>-</v>
      </c>
    </row>
    <row r="216" spans="1:19" ht="14.1" customHeight="1" thickBot="1" x14ac:dyDescent="0.25">
      <c r="A216" s="4" t="str">
        <f>"0811"</f>
        <v>0811</v>
      </c>
      <c r="B216" s="5">
        <v>39722</v>
      </c>
      <c r="C216" s="4"/>
      <c r="D216" s="4"/>
      <c r="E216" s="4"/>
      <c r="F216" s="4"/>
      <c r="G216" s="4"/>
      <c r="H216" s="4"/>
      <c r="I216" s="4" t="s">
        <v>379</v>
      </c>
      <c r="J216" s="4" t="s">
        <v>380</v>
      </c>
      <c r="K216" s="4" t="s">
        <v>73</v>
      </c>
      <c r="L216" s="4" t="str">
        <f>"1"</f>
        <v>1</v>
      </c>
      <c r="M216" s="3" t="str">
        <f>IF(H216 = "","",MONTH(H216))</f>
        <v/>
      </c>
      <c r="N216" s="3" t="str">
        <f>IF(H216 = "","",YEAR(H216))</f>
        <v/>
      </c>
      <c r="O216" s="6" t="str">
        <f t="shared" si="16"/>
        <v>-</v>
      </c>
      <c r="P216" s="6" t="str">
        <f t="shared" si="17"/>
        <v>-</v>
      </c>
      <c r="Q216" s="6" t="str">
        <f t="shared" si="18"/>
        <v>-</v>
      </c>
      <c r="R216" s="6" t="str">
        <f t="shared" si="19"/>
        <v>-</v>
      </c>
      <c r="S216" s="6" t="str">
        <f t="shared" si="20"/>
        <v>-</v>
      </c>
    </row>
    <row r="217" spans="1:19" ht="14.1" customHeight="1" thickBot="1" x14ac:dyDescent="0.25">
      <c r="A217" s="4" t="str">
        <f>"0808"</f>
        <v>0808</v>
      </c>
      <c r="B217" s="5">
        <v>39599</v>
      </c>
      <c r="C217" s="4"/>
      <c r="D217" s="4"/>
      <c r="E217" s="4"/>
      <c r="F217" s="4"/>
      <c r="G217" s="4"/>
      <c r="H217" s="4"/>
      <c r="I217" s="4"/>
      <c r="J217" s="4" t="s">
        <v>381</v>
      </c>
      <c r="K217" s="4" t="s">
        <v>90</v>
      </c>
      <c r="L217" s="4" t="str">
        <f>"0"</f>
        <v>0</v>
      </c>
      <c r="M217" s="3" t="str">
        <f>IF(H217 = "","",MONTH(H217))</f>
        <v/>
      </c>
      <c r="N217" s="3" t="str">
        <f>IF(H217 = "","",YEAR(H217))</f>
        <v/>
      </c>
      <c r="O217" s="6" t="str">
        <f t="shared" si="16"/>
        <v>-</v>
      </c>
      <c r="P217" s="6" t="str">
        <f t="shared" si="17"/>
        <v>-</v>
      </c>
      <c r="Q217" s="6" t="str">
        <f t="shared" si="18"/>
        <v>-</v>
      </c>
      <c r="R217" s="6" t="str">
        <f t="shared" si="19"/>
        <v>-</v>
      </c>
      <c r="S217" s="6" t="str">
        <f t="shared" si="20"/>
        <v>-</v>
      </c>
    </row>
    <row r="218" spans="1:19" ht="14.1" customHeight="1" thickBot="1" x14ac:dyDescent="0.25">
      <c r="A218" s="4" t="str">
        <f>"0807"</f>
        <v>0807</v>
      </c>
      <c r="B218" s="5">
        <v>39567</v>
      </c>
      <c r="C218" s="4"/>
      <c r="D218" s="4" t="str">
        <f>"08001"</f>
        <v>08001</v>
      </c>
      <c r="E218" s="4"/>
      <c r="F218" s="4"/>
      <c r="G218" s="4"/>
      <c r="H218" s="4"/>
      <c r="I218" s="4" t="s">
        <v>382</v>
      </c>
      <c r="J218" s="4" t="s">
        <v>383</v>
      </c>
      <c r="K218" s="4" t="s">
        <v>90</v>
      </c>
      <c r="L218" s="4" t="s">
        <v>21</v>
      </c>
      <c r="M218" s="3" t="str">
        <f>IF(H218 = "","",MONTH(H218))</f>
        <v/>
      </c>
      <c r="N218" s="3" t="str">
        <f>IF(H218 = "","",YEAR(H218))</f>
        <v/>
      </c>
      <c r="O218" s="6" t="str">
        <f t="shared" si="16"/>
        <v>-</v>
      </c>
      <c r="P218" s="6" t="str">
        <f t="shared" si="17"/>
        <v>-</v>
      </c>
      <c r="Q218" s="6" t="str">
        <f t="shared" si="18"/>
        <v>-</v>
      </c>
      <c r="R218" s="6" t="str">
        <f t="shared" si="19"/>
        <v>-</v>
      </c>
      <c r="S218" s="6" t="str">
        <f t="shared" si="20"/>
        <v>-</v>
      </c>
    </row>
    <row r="219" spans="1:19" ht="14.1" customHeight="1" thickBot="1" x14ac:dyDescent="0.25">
      <c r="A219" s="4" t="str">
        <f>"0804"</f>
        <v>0804</v>
      </c>
      <c r="B219" s="5">
        <v>39533</v>
      </c>
      <c r="C219" s="4"/>
      <c r="D219" s="4"/>
      <c r="E219" s="4"/>
      <c r="F219" s="4"/>
      <c r="G219" s="4"/>
      <c r="H219" s="4"/>
      <c r="I219" s="4"/>
      <c r="J219" s="4" t="s">
        <v>384</v>
      </c>
      <c r="K219" s="4" t="s">
        <v>385</v>
      </c>
      <c r="L219" s="4" t="str">
        <f>"0"</f>
        <v>0</v>
      </c>
      <c r="M219" s="3" t="str">
        <f>IF(H219 = "","",MONTH(H219))</f>
        <v/>
      </c>
      <c r="N219" s="3" t="str">
        <f>IF(H219 = "","",YEAR(H219))</f>
        <v/>
      </c>
      <c r="O219" s="6" t="str">
        <f t="shared" si="16"/>
        <v>-</v>
      </c>
      <c r="P219" s="6" t="str">
        <f t="shared" si="17"/>
        <v>-</v>
      </c>
      <c r="Q219" s="6" t="str">
        <f t="shared" si="18"/>
        <v>-</v>
      </c>
      <c r="R219" s="6" t="str">
        <f t="shared" si="19"/>
        <v>-</v>
      </c>
      <c r="S219" s="6" t="str">
        <f t="shared" si="20"/>
        <v>-</v>
      </c>
    </row>
    <row r="220" spans="1:19" ht="14.1" customHeight="1" thickBot="1" x14ac:dyDescent="0.25">
      <c r="A220" s="4" t="str">
        <f>"0803"</f>
        <v>0803</v>
      </c>
      <c r="B220" s="5">
        <v>39532</v>
      </c>
      <c r="C220" s="4"/>
      <c r="D220" s="4"/>
      <c r="E220" s="4"/>
      <c r="F220" s="4"/>
      <c r="G220" s="4"/>
      <c r="H220" s="4"/>
      <c r="I220" s="4"/>
      <c r="J220" s="4" t="s">
        <v>386</v>
      </c>
      <c r="K220" s="4" t="s">
        <v>90</v>
      </c>
      <c r="L220" s="4" t="str">
        <f>"0"</f>
        <v>0</v>
      </c>
      <c r="M220" s="3" t="str">
        <f>IF(H220 = "","",MONTH(H220))</f>
        <v/>
      </c>
      <c r="N220" s="3" t="str">
        <f>IF(H220 = "","",YEAR(H220))</f>
        <v/>
      </c>
      <c r="O220" s="6" t="str">
        <f t="shared" si="16"/>
        <v>-</v>
      </c>
      <c r="P220" s="6" t="str">
        <f t="shared" si="17"/>
        <v>-</v>
      </c>
      <c r="Q220" s="6" t="str">
        <f t="shared" si="18"/>
        <v>-</v>
      </c>
      <c r="R220" s="6" t="str">
        <f t="shared" si="19"/>
        <v>-</v>
      </c>
      <c r="S220" s="6" t="str">
        <f t="shared" si="20"/>
        <v>-</v>
      </c>
    </row>
    <row r="221" spans="1:19" ht="14.1" customHeight="1" thickBot="1" x14ac:dyDescent="0.25">
      <c r="A221" s="4" t="str">
        <f>"0802"</f>
        <v>0802</v>
      </c>
      <c r="B221" s="5">
        <v>39519</v>
      </c>
      <c r="C221" s="4"/>
      <c r="D221" s="4"/>
      <c r="E221" s="4"/>
      <c r="F221" s="4"/>
      <c r="G221" s="4"/>
      <c r="H221" s="4"/>
      <c r="I221" s="4"/>
      <c r="J221" s="4" t="s">
        <v>387</v>
      </c>
      <c r="K221" s="4" t="s">
        <v>388</v>
      </c>
      <c r="L221" s="4" t="str">
        <f>"0"</f>
        <v>0</v>
      </c>
      <c r="M221" s="3" t="str">
        <f>IF(H221 = "","",MONTH(H221))</f>
        <v/>
      </c>
      <c r="N221" s="3" t="str">
        <f>IF(H221 = "","",YEAR(H221))</f>
        <v/>
      </c>
      <c r="O221" s="6" t="str">
        <f t="shared" si="16"/>
        <v>-</v>
      </c>
      <c r="P221" s="6" t="str">
        <f t="shared" si="17"/>
        <v>-</v>
      </c>
      <c r="Q221" s="6" t="str">
        <f t="shared" si="18"/>
        <v>-</v>
      </c>
      <c r="R221" s="6" t="str">
        <f t="shared" si="19"/>
        <v>-</v>
      </c>
      <c r="S221" s="6" t="str">
        <f t="shared" si="20"/>
        <v>-</v>
      </c>
    </row>
    <row r="222" spans="1:19" ht="14.1" customHeight="1" thickBot="1" x14ac:dyDescent="0.25">
      <c r="A222" s="4" t="str">
        <f>"0806"</f>
        <v>0806</v>
      </c>
      <c r="B222" s="5">
        <v>39508</v>
      </c>
      <c r="C222" s="4"/>
      <c r="D222" s="4" t="str">
        <f>"08002"</f>
        <v>08002</v>
      </c>
      <c r="E222" s="4"/>
      <c r="F222" s="4"/>
      <c r="G222" s="4"/>
      <c r="H222" s="4"/>
      <c r="I222" s="4" t="s">
        <v>389</v>
      </c>
      <c r="J222" s="4" t="s">
        <v>390</v>
      </c>
      <c r="K222" s="4" t="s">
        <v>90</v>
      </c>
      <c r="L222" s="4" t="s">
        <v>127</v>
      </c>
      <c r="M222" s="3" t="str">
        <f>IF(H222 = "","",MONTH(H222))</f>
        <v/>
      </c>
      <c r="N222" s="3" t="str">
        <f>IF(H222 = "","",YEAR(H222))</f>
        <v/>
      </c>
      <c r="O222" s="6" t="str">
        <f t="shared" si="16"/>
        <v>-</v>
      </c>
      <c r="P222" s="6" t="str">
        <f t="shared" si="17"/>
        <v>-</v>
      </c>
      <c r="Q222" s="6" t="str">
        <f t="shared" si="18"/>
        <v>-</v>
      </c>
      <c r="R222" s="6" t="str">
        <f t="shared" si="19"/>
        <v>-</v>
      </c>
      <c r="S222" s="6" t="str">
        <f t="shared" si="20"/>
        <v>-</v>
      </c>
    </row>
    <row r="223" spans="1:19" ht="14.1" customHeight="1" thickBot="1" x14ac:dyDescent="0.25">
      <c r="A223" s="4" t="str">
        <f>"0805"</f>
        <v>0805</v>
      </c>
      <c r="B223" s="5">
        <v>39508</v>
      </c>
      <c r="C223" s="4"/>
      <c r="D223" s="4"/>
      <c r="E223" s="4"/>
      <c r="F223" s="4"/>
      <c r="G223" s="4"/>
      <c r="H223" s="4"/>
      <c r="I223" s="4" t="s">
        <v>391</v>
      </c>
      <c r="J223" s="4" t="s">
        <v>392</v>
      </c>
      <c r="K223" s="4" t="s">
        <v>393</v>
      </c>
      <c r="L223" s="4" t="str">
        <f>"0"</f>
        <v>0</v>
      </c>
      <c r="M223" s="3" t="str">
        <f>IF(H223 = "","",MONTH(H223))</f>
        <v/>
      </c>
      <c r="N223" s="3" t="str">
        <f>IF(H223 = "","",YEAR(H223))</f>
        <v/>
      </c>
      <c r="O223" s="6" t="str">
        <f t="shared" si="16"/>
        <v>-</v>
      </c>
      <c r="P223" s="6" t="str">
        <f t="shared" si="17"/>
        <v>-</v>
      </c>
      <c r="Q223" s="6" t="str">
        <f t="shared" si="18"/>
        <v>-</v>
      </c>
      <c r="R223" s="6" t="str">
        <f t="shared" si="19"/>
        <v>-</v>
      </c>
      <c r="S223" s="6" t="str">
        <f t="shared" si="20"/>
        <v>-</v>
      </c>
    </row>
    <row r="224" spans="1:19" ht="14.1" customHeight="1" thickBot="1" x14ac:dyDescent="0.25">
      <c r="A224" s="4" t="str">
        <f>"0801"</f>
        <v>0801</v>
      </c>
      <c r="B224" s="5">
        <v>39461</v>
      </c>
      <c r="C224" s="4"/>
      <c r="D224" s="4"/>
      <c r="E224" s="4"/>
      <c r="F224" s="4"/>
      <c r="G224" s="4"/>
      <c r="H224" s="4"/>
      <c r="I224" s="4"/>
      <c r="J224" s="4" t="s">
        <v>394</v>
      </c>
      <c r="K224" s="4"/>
      <c r="L224" s="4" t="str">
        <f>"0"</f>
        <v>0</v>
      </c>
      <c r="M224" s="3" t="str">
        <f>IF(H224 = "","",MONTH(H224))</f>
        <v/>
      </c>
      <c r="N224" s="3" t="str">
        <f>IF(H224 = "","",YEAR(H224))</f>
        <v/>
      </c>
      <c r="O224" s="6" t="str">
        <f t="shared" si="16"/>
        <v>-</v>
      </c>
      <c r="P224" s="6" t="str">
        <f t="shared" si="17"/>
        <v>-</v>
      </c>
      <c r="Q224" s="6" t="str">
        <f t="shared" si="18"/>
        <v>-</v>
      </c>
      <c r="R224" s="6" t="str">
        <f t="shared" si="19"/>
        <v>-</v>
      </c>
      <c r="S224" s="6" t="str">
        <f t="shared" si="20"/>
        <v>-</v>
      </c>
    </row>
    <row r="225" spans="1:19" ht="14.1" customHeight="1" thickBot="1" x14ac:dyDescent="0.25">
      <c r="A225" s="4" t="str">
        <f>"0709"</f>
        <v>0709</v>
      </c>
      <c r="B225" s="5">
        <v>39229</v>
      </c>
      <c r="C225" s="4"/>
      <c r="D225" s="4" t="str">
        <f>"07001"</f>
        <v>07001</v>
      </c>
      <c r="E225" s="4"/>
      <c r="F225" s="4"/>
      <c r="G225" s="4"/>
      <c r="H225" s="4"/>
      <c r="I225" s="4" t="s">
        <v>395</v>
      </c>
      <c r="J225" s="4" t="s">
        <v>396</v>
      </c>
      <c r="K225" s="4" t="s">
        <v>39</v>
      </c>
      <c r="L225" s="4" t="s">
        <v>21</v>
      </c>
      <c r="M225" s="3" t="str">
        <f>IF(H225 = "","",MONTH(H225))</f>
        <v/>
      </c>
      <c r="N225" s="3" t="str">
        <f>IF(H225 = "","",YEAR(H225))</f>
        <v/>
      </c>
      <c r="O225" s="6" t="str">
        <f t="shared" si="16"/>
        <v>-</v>
      </c>
      <c r="P225" s="6" t="str">
        <f t="shared" si="17"/>
        <v>-</v>
      </c>
      <c r="Q225" s="6" t="str">
        <f t="shared" si="18"/>
        <v>-</v>
      </c>
      <c r="R225" s="6" t="str">
        <f t="shared" si="19"/>
        <v>-</v>
      </c>
      <c r="S225" s="6" t="str">
        <f t="shared" si="20"/>
        <v>-</v>
      </c>
    </row>
    <row r="226" spans="1:19" ht="14.1" customHeight="1" thickBot="1" x14ac:dyDescent="0.25">
      <c r="A226" s="4" t="str">
        <f>"0708"</f>
        <v>0708</v>
      </c>
      <c r="B226" s="5">
        <v>39210</v>
      </c>
      <c r="C226" s="4"/>
      <c r="D226" s="4"/>
      <c r="E226" s="4"/>
      <c r="F226" s="4"/>
      <c r="G226" s="4"/>
      <c r="H226" s="4"/>
      <c r="I226" s="4"/>
      <c r="J226" s="4" t="s">
        <v>397</v>
      </c>
      <c r="K226" s="4" t="s">
        <v>398</v>
      </c>
      <c r="L226" s="4" t="str">
        <f>"0"</f>
        <v>0</v>
      </c>
      <c r="M226" s="3" t="str">
        <f>IF(H226 = "","",MONTH(H226))</f>
        <v/>
      </c>
      <c r="N226" s="3" t="str">
        <f>IF(H226 = "","",YEAR(H226))</f>
        <v/>
      </c>
      <c r="O226" s="6" t="str">
        <f t="shared" si="16"/>
        <v>-</v>
      </c>
      <c r="P226" s="6" t="str">
        <f t="shared" si="17"/>
        <v>-</v>
      </c>
      <c r="Q226" s="6" t="str">
        <f t="shared" si="18"/>
        <v>-</v>
      </c>
      <c r="R226" s="6" t="str">
        <f t="shared" si="19"/>
        <v>-</v>
      </c>
      <c r="S226" s="6" t="str">
        <f t="shared" si="20"/>
        <v>-</v>
      </c>
    </row>
    <row r="227" spans="1:19" ht="14.1" customHeight="1" thickBot="1" x14ac:dyDescent="0.25">
      <c r="A227" s="4" t="str">
        <f>"0707"</f>
        <v>0707</v>
      </c>
      <c r="B227" s="5">
        <v>39206</v>
      </c>
      <c r="C227" s="4"/>
      <c r="D227" s="4" t="str">
        <f>"07002"</f>
        <v>07002</v>
      </c>
      <c r="E227" s="4"/>
      <c r="F227" s="4"/>
      <c r="G227" s="4"/>
      <c r="H227" s="4"/>
      <c r="I227" s="4" t="s">
        <v>399</v>
      </c>
      <c r="J227" s="4" t="s">
        <v>400</v>
      </c>
      <c r="K227" s="4" t="s">
        <v>39</v>
      </c>
      <c r="L227" s="4" t="s">
        <v>230</v>
      </c>
      <c r="M227" s="3" t="str">
        <f>IF(H227 = "","",MONTH(H227))</f>
        <v/>
      </c>
      <c r="N227" s="3" t="str">
        <f>IF(H227 = "","",YEAR(H227))</f>
        <v/>
      </c>
      <c r="O227" s="6" t="str">
        <f t="shared" si="16"/>
        <v>-</v>
      </c>
      <c r="P227" s="6" t="str">
        <f t="shared" si="17"/>
        <v>-</v>
      </c>
      <c r="Q227" s="6" t="str">
        <f t="shared" si="18"/>
        <v>-</v>
      </c>
      <c r="R227" s="6" t="str">
        <f t="shared" si="19"/>
        <v>-</v>
      </c>
      <c r="S227" s="6" t="str">
        <f t="shared" si="20"/>
        <v>-</v>
      </c>
    </row>
    <row r="228" spans="1:19" ht="14.1" customHeight="1" thickBot="1" x14ac:dyDescent="0.25">
      <c r="A228" s="4" t="str">
        <f>"0701"</f>
        <v>0701</v>
      </c>
      <c r="B228" s="5">
        <v>39071</v>
      </c>
      <c r="C228" s="4"/>
      <c r="D228" s="4"/>
      <c r="E228" s="4"/>
      <c r="F228" s="4"/>
      <c r="G228" s="4"/>
      <c r="H228" s="4"/>
      <c r="I228" s="4"/>
      <c r="J228" s="4" t="s">
        <v>401</v>
      </c>
      <c r="K228" s="4" t="s">
        <v>90</v>
      </c>
      <c r="L228" s="4" t="str">
        <f>"0"</f>
        <v>0</v>
      </c>
      <c r="M228" s="3" t="str">
        <f>IF(H228 = "","",MONTH(H228))</f>
        <v/>
      </c>
      <c r="N228" s="3" t="str">
        <f>IF(H228 = "","",YEAR(H228))</f>
        <v/>
      </c>
      <c r="O228" s="6" t="str">
        <f t="shared" si="16"/>
        <v>-</v>
      </c>
      <c r="P228" s="6" t="str">
        <f t="shared" si="17"/>
        <v>-</v>
      </c>
      <c r="Q228" s="6" t="str">
        <f t="shared" si="18"/>
        <v>-</v>
      </c>
      <c r="R228" s="6" t="str">
        <f t="shared" si="19"/>
        <v>-</v>
      </c>
      <c r="S228" s="6" t="str">
        <f t="shared" si="20"/>
        <v>-</v>
      </c>
    </row>
    <row r="229" spans="1:19" ht="14.1" customHeight="1" thickBot="1" x14ac:dyDescent="0.25">
      <c r="A229" s="4" t="str">
        <f>"0702"</f>
        <v>0702</v>
      </c>
      <c r="B229" s="5">
        <v>39052</v>
      </c>
      <c r="C229" s="4"/>
      <c r="D229" s="4"/>
      <c r="E229" s="4"/>
      <c r="F229" s="4"/>
      <c r="G229" s="4"/>
      <c r="H229" s="4"/>
      <c r="I229" s="4" t="s">
        <v>402</v>
      </c>
      <c r="J229" s="4" t="s">
        <v>403</v>
      </c>
      <c r="K229" s="4" t="s">
        <v>39</v>
      </c>
      <c r="L229" s="4" t="str">
        <f>"0"</f>
        <v>0</v>
      </c>
      <c r="M229" s="3" t="str">
        <f>IF(H229 = "","",MONTH(H229))</f>
        <v/>
      </c>
      <c r="N229" s="3" t="str">
        <f>IF(H229 = "","",YEAR(H229))</f>
        <v/>
      </c>
      <c r="O229" s="6" t="str">
        <f t="shared" si="16"/>
        <v>-</v>
      </c>
      <c r="P229" s="6" t="str">
        <f t="shared" si="17"/>
        <v>-</v>
      </c>
      <c r="Q229" s="6" t="str">
        <f t="shared" si="18"/>
        <v>-</v>
      </c>
      <c r="R229" s="6" t="str">
        <f t="shared" si="19"/>
        <v>-</v>
      </c>
      <c r="S229" s="6" t="str">
        <f t="shared" si="20"/>
        <v>-</v>
      </c>
    </row>
    <row r="230" spans="1:19" ht="14.1" customHeight="1" thickBot="1" x14ac:dyDescent="0.25">
      <c r="A230" s="4" t="str">
        <f>"0623"</f>
        <v>0623</v>
      </c>
      <c r="B230" s="5">
        <v>39022</v>
      </c>
      <c r="C230" s="4"/>
      <c r="D230" s="4"/>
      <c r="E230" s="4"/>
      <c r="F230" s="4"/>
      <c r="G230" s="4"/>
      <c r="H230" s="4"/>
      <c r="I230" s="4" t="s">
        <v>404</v>
      </c>
      <c r="J230" s="4" t="s">
        <v>405</v>
      </c>
      <c r="K230" s="4" t="s">
        <v>90</v>
      </c>
      <c r="L230" s="4" t="str">
        <f>"0"</f>
        <v>0</v>
      </c>
      <c r="M230" s="3" t="str">
        <f>IF(H230 = "","",MONTH(H230))</f>
        <v/>
      </c>
      <c r="N230" s="3" t="str">
        <f>IF(H230 = "","",YEAR(H230))</f>
        <v/>
      </c>
      <c r="O230" s="6" t="str">
        <f t="shared" si="16"/>
        <v>-</v>
      </c>
      <c r="P230" s="6" t="str">
        <f t="shared" si="17"/>
        <v>-</v>
      </c>
      <c r="Q230" s="6" t="str">
        <f t="shared" si="18"/>
        <v>-</v>
      </c>
      <c r="R230" s="6" t="str">
        <f t="shared" si="19"/>
        <v>-</v>
      </c>
      <c r="S230" s="6" t="str">
        <f t="shared" si="20"/>
        <v>-</v>
      </c>
    </row>
    <row r="231" spans="1:19" ht="14.1" customHeight="1" thickBot="1" x14ac:dyDescent="0.25">
      <c r="A231" s="4" t="str">
        <f>"0622"</f>
        <v>0622</v>
      </c>
      <c r="B231" s="5">
        <v>39020</v>
      </c>
      <c r="C231" s="4"/>
      <c r="D231" s="4" t="str">
        <f>"06007"</f>
        <v>06007</v>
      </c>
      <c r="E231" s="4"/>
      <c r="F231" s="4"/>
      <c r="G231" s="4"/>
      <c r="H231" s="4"/>
      <c r="I231" s="4" t="s">
        <v>406</v>
      </c>
      <c r="J231" s="4" t="s">
        <v>407</v>
      </c>
      <c r="K231" s="4" t="s">
        <v>39</v>
      </c>
      <c r="L231" s="4" t="s">
        <v>230</v>
      </c>
      <c r="M231" s="3" t="str">
        <f>IF(H231 = "","",MONTH(H231))</f>
        <v/>
      </c>
      <c r="N231" s="3" t="str">
        <f>IF(H231 = "","",YEAR(H231))</f>
        <v/>
      </c>
      <c r="O231" s="6" t="str">
        <f t="shared" si="16"/>
        <v>-</v>
      </c>
      <c r="P231" s="6" t="str">
        <f t="shared" si="17"/>
        <v>-</v>
      </c>
      <c r="Q231" s="6" t="str">
        <f t="shared" si="18"/>
        <v>-</v>
      </c>
      <c r="R231" s="6" t="str">
        <f t="shared" si="19"/>
        <v>-</v>
      </c>
      <c r="S231" s="6" t="str">
        <f t="shared" si="20"/>
        <v>-</v>
      </c>
    </row>
    <row r="232" spans="1:19" ht="14.1" customHeight="1" thickBot="1" x14ac:dyDescent="0.25">
      <c r="A232" s="4" t="str">
        <f>"0621"</f>
        <v>0621</v>
      </c>
      <c r="B232" s="5">
        <v>39005</v>
      </c>
      <c r="C232" s="4"/>
      <c r="D232" s="4"/>
      <c r="E232" s="4"/>
      <c r="F232" s="4"/>
      <c r="G232" s="4"/>
      <c r="H232" s="4"/>
      <c r="I232" s="4"/>
      <c r="J232" s="4" t="s">
        <v>408</v>
      </c>
      <c r="K232" s="4" t="s">
        <v>409</v>
      </c>
      <c r="L232" s="4" t="str">
        <f t="shared" ref="L232:L239" si="22">"0"</f>
        <v>0</v>
      </c>
      <c r="M232" s="3" t="str">
        <f>IF(H232 = "","",MONTH(H232))</f>
        <v/>
      </c>
      <c r="N232" s="3" t="str">
        <f>IF(H232 = "","",YEAR(H232))</f>
        <v/>
      </c>
      <c r="O232" s="6" t="str">
        <f t="shared" si="16"/>
        <v>-</v>
      </c>
      <c r="P232" s="6" t="str">
        <f t="shared" si="17"/>
        <v>-</v>
      </c>
      <c r="Q232" s="6" t="str">
        <f t="shared" si="18"/>
        <v>-</v>
      </c>
      <c r="R232" s="6" t="str">
        <f t="shared" si="19"/>
        <v>-</v>
      </c>
      <c r="S232" s="6" t="str">
        <f t="shared" si="20"/>
        <v>-</v>
      </c>
    </row>
    <row r="233" spans="1:19" ht="14.1" customHeight="1" thickBot="1" x14ac:dyDescent="0.25">
      <c r="A233" s="4" t="str">
        <f>"0624"</f>
        <v>0624</v>
      </c>
      <c r="B233" s="5">
        <v>38899</v>
      </c>
      <c r="C233" s="4"/>
      <c r="D233" s="4"/>
      <c r="E233" s="4"/>
      <c r="F233" s="4"/>
      <c r="G233" s="4"/>
      <c r="H233" s="4"/>
      <c r="I233" s="4"/>
      <c r="J233" s="4" t="s">
        <v>410</v>
      </c>
      <c r="K233" s="4" t="s">
        <v>73</v>
      </c>
      <c r="L233" s="4" t="str">
        <f t="shared" si="22"/>
        <v>0</v>
      </c>
      <c r="M233" s="3" t="str">
        <f>IF(H233 = "","",MONTH(H233))</f>
        <v/>
      </c>
      <c r="N233" s="3" t="str">
        <f>IF(H233 = "","",YEAR(H233))</f>
        <v/>
      </c>
      <c r="O233" s="6" t="str">
        <f t="shared" si="16"/>
        <v>-</v>
      </c>
      <c r="P233" s="6" t="str">
        <f t="shared" si="17"/>
        <v>-</v>
      </c>
      <c r="Q233" s="6" t="str">
        <f t="shared" si="18"/>
        <v>-</v>
      </c>
      <c r="R233" s="6" t="str">
        <f t="shared" si="19"/>
        <v>-</v>
      </c>
      <c r="S233" s="6" t="str">
        <f t="shared" si="20"/>
        <v>-</v>
      </c>
    </row>
    <row r="234" spans="1:19" ht="14.1" customHeight="1" thickBot="1" x14ac:dyDescent="0.25">
      <c r="A234" s="4" t="str">
        <f>"0619"</f>
        <v>0619</v>
      </c>
      <c r="B234" s="5">
        <v>38873</v>
      </c>
      <c r="C234" s="4"/>
      <c r="D234" s="4"/>
      <c r="E234" s="4"/>
      <c r="F234" s="4"/>
      <c r="G234" s="4"/>
      <c r="H234" s="4"/>
      <c r="I234" s="4"/>
      <c r="J234" s="4" t="s">
        <v>411</v>
      </c>
      <c r="K234" s="4" t="s">
        <v>39</v>
      </c>
      <c r="L234" s="4" t="str">
        <f t="shared" si="22"/>
        <v>0</v>
      </c>
      <c r="M234" s="3" t="str">
        <f>IF(H234 = "","",MONTH(H234))</f>
        <v/>
      </c>
      <c r="N234" s="3" t="str">
        <f>IF(H234 = "","",YEAR(H234))</f>
        <v/>
      </c>
      <c r="O234" s="6" t="str">
        <f t="shared" si="16"/>
        <v>-</v>
      </c>
      <c r="P234" s="6" t="str">
        <f t="shared" si="17"/>
        <v>-</v>
      </c>
      <c r="Q234" s="6" t="str">
        <f t="shared" si="18"/>
        <v>-</v>
      </c>
      <c r="R234" s="6" t="str">
        <f t="shared" si="19"/>
        <v>-</v>
      </c>
      <c r="S234" s="6" t="str">
        <f t="shared" si="20"/>
        <v>-</v>
      </c>
    </row>
    <row r="235" spans="1:19" ht="14.1" customHeight="1" thickBot="1" x14ac:dyDescent="0.25">
      <c r="A235" s="4" t="str">
        <f>"0618"</f>
        <v>0618</v>
      </c>
      <c r="B235" s="5">
        <v>38872</v>
      </c>
      <c r="C235" s="4"/>
      <c r="D235" s="4"/>
      <c r="E235" s="4"/>
      <c r="F235" s="4"/>
      <c r="G235" s="4"/>
      <c r="H235" s="4"/>
      <c r="I235" s="4" t="s">
        <v>412</v>
      </c>
      <c r="J235" s="4" t="s">
        <v>413</v>
      </c>
      <c r="K235" s="4" t="s">
        <v>73</v>
      </c>
      <c r="L235" s="4" t="str">
        <f t="shared" si="22"/>
        <v>0</v>
      </c>
      <c r="M235" s="3" t="str">
        <f>IF(H235 = "","",MONTH(H235))</f>
        <v/>
      </c>
      <c r="N235" s="3" t="str">
        <f>IF(H235 = "","",YEAR(H235))</f>
        <v/>
      </c>
      <c r="O235" s="6" t="str">
        <f t="shared" si="16"/>
        <v>-</v>
      </c>
      <c r="P235" s="6" t="str">
        <f t="shared" si="17"/>
        <v>-</v>
      </c>
      <c r="Q235" s="6" t="str">
        <f t="shared" si="18"/>
        <v>-</v>
      </c>
      <c r="R235" s="6" t="str">
        <f t="shared" si="19"/>
        <v>-</v>
      </c>
      <c r="S235" s="6" t="str">
        <f t="shared" si="20"/>
        <v>-</v>
      </c>
    </row>
    <row r="236" spans="1:19" ht="14.1" customHeight="1" thickBot="1" x14ac:dyDescent="0.25">
      <c r="A236" s="4" t="str">
        <f>"0617"</f>
        <v>0617</v>
      </c>
      <c r="B236" s="5">
        <v>38860</v>
      </c>
      <c r="C236" s="4"/>
      <c r="D236" s="4"/>
      <c r="E236" s="4"/>
      <c r="F236" s="4"/>
      <c r="G236" s="4"/>
      <c r="H236" s="4"/>
      <c r="I236" s="4"/>
      <c r="J236" s="4" t="s">
        <v>414</v>
      </c>
      <c r="K236" s="4" t="s">
        <v>56</v>
      </c>
      <c r="L236" s="4" t="str">
        <f t="shared" si="22"/>
        <v>0</v>
      </c>
      <c r="M236" s="3" t="str">
        <f>IF(H236 = "","",MONTH(H236))</f>
        <v/>
      </c>
      <c r="N236" s="3" t="str">
        <f>IF(H236 = "","",YEAR(H236))</f>
        <v/>
      </c>
      <c r="O236" s="6" t="str">
        <f t="shared" si="16"/>
        <v>-</v>
      </c>
      <c r="P236" s="6" t="str">
        <f t="shared" si="17"/>
        <v>-</v>
      </c>
      <c r="Q236" s="6" t="str">
        <f t="shared" si="18"/>
        <v>-</v>
      </c>
      <c r="R236" s="6" t="str">
        <f t="shared" si="19"/>
        <v>-</v>
      </c>
      <c r="S236" s="6" t="str">
        <f t="shared" si="20"/>
        <v>-</v>
      </c>
    </row>
    <row r="237" spans="1:19" ht="14.1" customHeight="1" thickBot="1" x14ac:dyDescent="0.25">
      <c r="A237" s="4" t="str">
        <f>"0614"</f>
        <v>0614</v>
      </c>
      <c r="B237" s="5">
        <v>38796</v>
      </c>
      <c r="C237" s="4"/>
      <c r="D237" s="4"/>
      <c r="E237" s="4"/>
      <c r="F237" s="4"/>
      <c r="G237" s="4"/>
      <c r="H237" s="4"/>
      <c r="I237" s="4"/>
      <c r="J237" s="4" t="s">
        <v>415</v>
      </c>
      <c r="K237" s="4" t="s">
        <v>90</v>
      </c>
      <c r="L237" s="4" t="str">
        <f t="shared" si="22"/>
        <v>0</v>
      </c>
      <c r="M237" s="3" t="str">
        <f>IF(H237 = "","",MONTH(H237))</f>
        <v/>
      </c>
      <c r="N237" s="3" t="str">
        <f>IF(H237 = "","",YEAR(H237))</f>
        <v/>
      </c>
      <c r="O237" s="6" t="str">
        <f t="shared" si="16"/>
        <v>-</v>
      </c>
      <c r="P237" s="6" t="str">
        <f t="shared" si="17"/>
        <v>-</v>
      </c>
      <c r="Q237" s="6" t="str">
        <f t="shared" si="18"/>
        <v>-</v>
      </c>
      <c r="R237" s="6" t="str">
        <f t="shared" si="19"/>
        <v>-</v>
      </c>
      <c r="S237" s="6" t="str">
        <f t="shared" si="20"/>
        <v>-</v>
      </c>
    </row>
    <row r="238" spans="1:19" ht="14.1" customHeight="1" thickBot="1" x14ac:dyDescent="0.25">
      <c r="A238" s="4" t="str">
        <f>"0613"</f>
        <v>0613</v>
      </c>
      <c r="B238" s="5">
        <v>38784</v>
      </c>
      <c r="C238" s="4"/>
      <c r="D238" s="4"/>
      <c r="E238" s="4"/>
      <c r="F238" s="4"/>
      <c r="G238" s="4"/>
      <c r="H238" s="4"/>
      <c r="I238" s="4"/>
      <c r="J238" s="4" t="s">
        <v>416</v>
      </c>
      <c r="K238" s="4" t="s">
        <v>417</v>
      </c>
      <c r="L238" s="4" t="str">
        <f t="shared" si="22"/>
        <v>0</v>
      </c>
      <c r="M238" s="3" t="str">
        <f>IF(H238 = "","",MONTH(H238))</f>
        <v/>
      </c>
      <c r="N238" s="3" t="str">
        <f>IF(H238 = "","",YEAR(H238))</f>
        <v/>
      </c>
      <c r="O238" s="6" t="str">
        <f t="shared" si="16"/>
        <v>-</v>
      </c>
      <c r="P238" s="6" t="str">
        <f t="shared" si="17"/>
        <v>-</v>
      </c>
      <c r="Q238" s="6" t="str">
        <f t="shared" si="18"/>
        <v>-</v>
      </c>
      <c r="R238" s="6" t="str">
        <f t="shared" si="19"/>
        <v>-</v>
      </c>
      <c r="S238" s="6" t="str">
        <f t="shared" si="20"/>
        <v>-</v>
      </c>
    </row>
    <row r="239" spans="1:19" ht="14.1" customHeight="1" thickBot="1" x14ac:dyDescent="0.25">
      <c r="A239" s="4" t="str">
        <f>"0611"</f>
        <v>0611</v>
      </c>
      <c r="B239" s="5">
        <v>38782</v>
      </c>
      <c r="C239" s="4"/>
      <c r="D239" s="4"/>
      <c r="E239" s="4"/>
      <c r="F239" s="4"/>
      <c r="G239" s="4"/>
      <c r="H239" s="4"/>
      <c r="I239" s="4"/>
      <c r="J239" s="4" t="s">
        <v>418</v>
      </c>
      <c r="K239" s="4" t="s">
        <v>419</v>
      </c>
      <c r="L239" s="4" t="str">
        <f t="shared" si="22"/>
        <v>0</v>
      </c>
      <c r="M239" s="3" t="str">
        <f>IF(H239 = "","",MONTH(H239))</f>
        <v/>
      </c>
      <c r="N239" s="3" t="str">
        <f>IF(H239 = "","",YEAR(H239))</f>
        <v/>
      </c>
      <c r="O239" s="6" t="str">
        <f t="shared" si="16"/>
        <v>-</v>
      </c>
      <c r="P239" s="6" t="str">
        <f t="shared" si="17"/>
        <v>-</v>
      </c>
      <c r="Q239" s="6" t="str">
        <f t="shared" si="18"/>
        <v>-</v>
      </c>
      <c r="R239" s="6" t="str">
        <f t="shared" si="19"/>
        <v>-</v>
      </c>
      <c r="S239" s="6" t="str">
        <f t="shared" si="20"/>
        <v>-</v>
      </c>
    </row>
    <row r="240" spans="1:19" ht="14.1" customHeight="1" thickBot="1" x14ac:dyDescent="0.25">
      <c r="A240" s="4" t="str">
        <f>"0615"</f>
        <v>0615</v>
      </c>
      <c r="B240" s="5">
        <v>38777</v>
      </c>
      <c r="C240" s="4"/>
      <c r="D240" s="4" t="str">
        <f>"06005"</f>
        <v>06005</v>
      </c>
      <c r="E240" s="4"/>
      <c r="F240" s="4"/>
      <c r="G240" s="4"/>
      <c r="H240" s="4"/>
      <c r="I240" s="4" t="s">
        <v>420</v>
      </c>
      <c r="J240" s="4" t="s">
        <v>381</v>
      </c>
      <c r="K240" s="4" t="s">
        <v>90</v>
      </c>
      <c r="L240" s="4" t="s">
        <v>127</v>
      </c>
      <c r="M240" s="3" t="str">
        <f>IF(H240 = "","",MONTH(H240))</f>
        <v/>
      </c>
      <c r="N240" s="3" t="str">
        <f>IF(H240 = "","",YEAR(H240))</f>
        <v/>
      </c>
      <c r="O240" s="6" t="str">
        <f t="shared" si="16"/>
        <v>-</v>
      </c>
      <c r="P240" s="6" t="str">
        <f t="shared" si="17"/>
        <v>-</v>
      </c>
      <c r="Q240" s="6" t="str">
        <f t="shared" si="18"/>
        <v>-</v>
      </c>
      <c r="R240" s="6" t="str">
        <f t="shared" si="19"/>
        <v>-</v>
      </c>
      <c r="S240" s="6" t="str">
        <f t="shared" si="20"/>
        <v>-</v>
      </c>
    </row>
    <row r="241" spans="1:19" ht="14.1" customHeight="1" thickBot="1" x14ac:dyDescent="0.25">
      <c r="A241" s="4" t="str">
        <f>"0620"</f>
        <v>0620</v>
      </c>
      <c r="B241" s="5">
        <v>38777</v>
      </c>
      <c r="C241" s="4"/>
      <c r="D241" s="4" t="str">
        <f>"06006"</f>
        <v>06006</v>
      </c>
      <c r="E241" s="4"/>
      <c r="F241" s="4"/>
      <c r="G241" s="4"/>
      <c r="H241" s="4"/>
      <c r="I241" s="4" t="s">
        <v>421</v>
      </c>
      <c r="J241" s="4" t="s">
        <v>422</v>
      </c>
      <c r="K241" s="4" t="s">
        <v>90</v>
      </c>
      <c r="L241" s="4" t="s">
        <v>230</v>
      </c>
      <c r="M241" s="3" t="str">
        <f>IF(H241 = "","",MONTH(H241))</f>
        <v/>
      </c>
      <c r="N241" s="3" t="str">
        <f>IF(H241 = "","",YEAR(H241))</f>
        <v/>
      </c>
      <c r="O241" s="6" t="str">
        <f t="shared" si="16"/>
        <v>-</v>
      </c>
      <c r="P241" s="6" t="str">
        <f t="shared" si="17"/>
        <v>-</v>
      </c>
      <c r="Q241" s="6" t="str">
        <f t="shared" si="18"/>
        <v>-</v>
      </c>
      <c r="R241" s="6" t="str">
        <f t="shared" si="19"/>
        <v>-</v>
      </c>
      <c r="S241" s="6" t="str">
        <f t="shared" si="20"/>
        <v>-</v>
      </c>
    </row>
    <row r="242" spans="1:19" ht="14.1" customHeight="1" thickBot="1" x14ac:dyDescent="0.25">
      <c r="A242" s="4" t="str">
        <f>"0610"</f>
        <v>0610</v>
      </c>
      <c r="B242" s="5">
        <v>38768</v>
      </c>
      <c r="C242" s="4"/>
      <c r="D242" s="4"/>
      <c r="E242" s="4"/>
      <c r="F242" s="4"/>
      <c r="G242" s="4"/>
      <c r="H242" s="4"/>
      <c r="I242" s="4"/>
      <c r="J242" s="4" t="s">
        <v>361</v>
      </c>
      <c r="K242" s="4" t="s">
        <v>423</v>
      </c>
      <c r="L242" s="4" t="str">
        <f>"0"</f>
        <v>0</v>
      </c>
      <c r="M242" s="3" t="str">
        <f>IF(H242 = "","",MONTH(H242))</f>
        <v/>
      </c>
      <c r="N242" s="3" t="str">
        <f>IF(H242 = "","",YEAR(H242))</f>
        <v/>
      </c>
      <c r="O242" s="6" t="str">
        <f t="shared" si="16"/>
        <v>-</v>
      </c>
      <c r="P242" s="6" t="str">
        <f t="shared" si="17"/>
        <v>-</v>
      </c>
      <c r="Q242" s="6" t="str">
        <f t="shared" si="18"/>
        <v>-</v>
      </c>
      <c r="R242" s="6" t="str">
        <f t="shared" si="19"/>
        <v>-</v>
      </c>
      <c r="S242" s="6" t="str">
        <f t="shared" si="20"/>
        <v>-</v>
      </c>
    </row>
    <row r="243" spans="1:19" ht="14.1" customHeight="1" thickBot="1" x14ac:dyDescent="0.25">
      <c r="A243" s="4" t="str">
        <f>"0609"</f>
        <v>0609</v>
      </c>
      <c r="B243" s="5">
        <v>38757</v>
      </c>
      <c r="C243" s="4"/>
      <c r="D243" s="4"/>
      <c r="E243" s="4"/>
      <c r="F243" s="4"/>
      <c r="G243" s="4"/>
      <c r="H243" s="4"/>
      <c r="I243" s="4"/>
      <c r="J243" s="4" t="s">
        <v>424</v>
      </c>
      <c r="K243" s="4"/>
      <c r="L243" s="4" t="str">
        <f>"0"</f>
        <v>0</v>
      </c>
      <c r="M243" s="3" t="str">
        <f>IF(H243 = "","",MONTH(H243))</f>
        <v/>
      </c>
      <c r="N243" s="3" t="str">
        <f>IF(H243 = "","",YEAR(H243))</f>
        <v/>
      </c>
      <c r="O243" s="6" t="str">
        <f t="shared" si="16"/>
        <v>-</v>
      </c>
      <c r="P243" s="6" t="str">
        <f t="shared" si="17"/>
        <v>-</v>
      </c>
      <c r="Q243" s="6" t="str">
        <f t="shared" si="18"/>
        <v>-</v>
      </c>
      <c r="R243" s="6" t="str">
        <f t="shared" si="19"/>
        <v>-</v>
      </c>
      <c r="S243" s="6" t="str">
        <f t="shared" si="20"/>
        <v>-</v>
      </c>
    </row>
    <row r="244" spans="1:19" ht="14.1" customHeight="1" thickBot="1" x14ac:dyDescent="0.25">
      <c r="A244" s="4" t="str">
        <f>"0606"</f>
        <v>0606</v>
      </c>
      <c r="B244" s="5">
        <v>38747</v>
      </c>
      <c r="C244" s="4"/>
      <c r="D244" s="4"/>
      <c r="E244" s="4"/>
      <c r="F244" s="4"/>
      <c r="G244" s="4"/>
      <c r="H244" s="4"/>
      <c r="I244" s="4"/>
      <c r="J244" s="4" t="s">
        <v>425</v>
      </c>
      <c r="K244" s="4" t="s">
        <v>39</v>
      </c>
      <c r="L244" s="4" t="str">
        <f>"0"</f>
        <v>0</v>
      </c>
      <c r="M244" s="3" t="str">
        <f>IF(H244 = "","",MONTH(H244))</f>
        <v/>
      </c>
      <c r="N244" s="3" t="str">
        <f>IF(H244 = "","",YEAR(H244))</f>
        <v/>
      </c>
      <c r="O244" s="6" t="str">
        <f t="shared" si="16"/>
        <v>-</v>
      </c>
      <c r="P244" s="6" t="str">
        <f t="shared" si="17"/>
        <v>-</v>
      </c>
      <c r="Q244" s="6" t="str">
        <f t="shared" si="18"/>
        <v>-</v>
      </c>
      <c r="R244" s="6" t="str">
        <f t="shared" si="19"/>
        <v>-</v>
      </c>
      <c r="S244" s="6" t="str">
        <f t="shared" si="20"/>
        <v>-</v>
      </c>
    </row>
    <row r="245" spans="1:19" ht="14.1" customHeight="1" thickBot="1" x14ac:dyDescent="0.25">
      <c r="A245" s="4" t="str">
        <f>"0608"</f>
        <v>0608</v>
      </c>
      <c r="B245" s="5">
        <v>38741</v>
      </c>
      <c r="C245" s="4"/>
      <c r="D245" s="4"/>
      <c r="E245" s="4"/>
      <c r="F245" s="4"/>
      <c r="G245" s="4"/>
      <c r="H245" s="4"/>
      <c r="I245" s="4" t="s">
        <v>426</v>
      </c>
      <c r="J245" s="4" t="s">
        <v>427</v>
      </c>
      <c r="K245" s="4" t="s">
        <v>97</v>
      </c>
      <c r="L245" s="4" t="str">
        <f>"1"</f>
        <v>1</v>
      </c>
      <c r="M245" s="3" t="str">
        <f>IF(H245 = "","",MONTH(H245))</f>
        <v/>
      </c>
      <c r="N245" s="3" t="str">
        <f>IF(H245 = "","",YEAR(H245))</f>
        <v/>
      </c>
      <c r="O245" s="6" t="str">
        <f t="shared" si="16"/>
        <v>-</v>
      </c>
      <c r="P245" s="6" t="str">
        <f t="shared" si="17"/>
        <v>-</v>
      </c>
      <c r="Q245" s="6" t="str">
        <f t="shared" si="18"/>
        <v>-</v>
      </c>
      <c r="R245" s="6" t="str">
        <f t="shared" si="19"/>
        <v>-</v>
      </c>
      <c r="S245" s="6" t="str">
        <f t="shared" si="20"/>
        <v>-</v>
      </c>
    </row>
    <row r="246" spans="1:19" ht="14.1" customHeight="1" thickBot="1" x14ac:dyDescent="0.25">
      <c r="A246" s="4" t="str">
        <f>"0607"</f>
        <v>0607</v>
      </c>
      <c r="B246" s="5">
        <v>38741</v>
      </c>
      <c r="C246" s="4"/>
      <c r="D246" s="4"/>
      <c r="E246" s="4"/>
      <c r="F246" s="4"/>
      <c r="G246" s="4"/>
      <c r="H246" s="4"/>
      <c r="I246" s="4"/>
      <c r="J246" s="4" t="s">
        <v>428</v>
      </c>
      <c r="K246" s="4" t="s">
        <v>39</v>
      </c>
      <c r="L246" s="4" t="str">
        <f>"0"</f>
        <v>0</v>
      </c>
      <c r="M246" s="3" t="str">
        <f>IF(H246 = "","",MONTH(H246))</f>
        <v/>
      </c>
      <c r="N246" s="3" t="str">
        <f>IF(H246 = "","",YEAR(H246))</f>
        <v/>
      </c>
      <c r="O246" s="6" t="str">
        <f t="shared" si="16"/>
        <v>-</v>
      </c>
      <c r="P246" s="6" t="str">
        <f t="shared" si="17"/>
        <v>-</v>
      </c>
      <c r="Q246" s="6" t="str">
        <f t="shared" si="18"/>
        <v>-</v>
      </c>
      <c r="R246" s="6" t="str">
        <f t="shared" si="19"/>
        <v>-</v>
      </c>
      <c r="S246" s="6" t="str">
        <f t="shared" si="20"/>
        <v>-</v>
      </c>
    </row>
    <row r="247" spans="1:19" ht="14.1" customHeight="1" thickBot="1" x14ac:dyDescent="0.25">
      <c r="A247" s="4" t="str">
        <f>"0604"</f>
        <v>0604</v>
      </c>
      <c r="B247" s="5">
        <v>38740</v>
      </c>
      <c r="C247" s="4"/>
      <c r="D247" s="4" t="str">
        <f>"06002"</f>
        <v>06002</v>
      </c>
      <c r="E247" s="4"/>
      <c r="F247" s="4"/>
      <c r="G247" s="4"/>
      <c r="H247" s="4"/>
      <c r="I247" s="4" t="s">
        <v>429</v>
      </c>
      <c r="J247" s="4" t="s">
        <v>430</v>
      </c>
      <c r="K247" s="4" t="s">
        <v>90</v>
      </c>
      <c r="L247" s="4" t="s">
        <v>431</v>
      </c>
      <c r="M247" s="3" t="str">
        <f>IF(H247 = "","",MONTH(H247))</f>
        <v/>
      </c>
      <c r="N247" s="3" t="str">
        <f>IF(H247 = "","",YEAR(H247))</f>
        <v/>
      </c>
      <c r="O247" s="6" t="str">
        <f t="shared" si="16"/>
        <v>-</v>
      </c>
      <c r="P247" s="6" t="str">
        <f t="shared" si="17"/>
        <v>-</v>
      </c>
      <c r="Q247" s="6" t="str">
        <f t="shared" si="18"/>
        <v>-</v>
      </c>
      <c r="R247" s="6" t="str">
        <f t="shared" si="19"/>
        <v>-</v>
      </c>
      <c r="S247" s="6" t="str">
        <f t="shared" si="20"/>
        <v>-</v>
      </c>
    </row>
    <row r="248" spans="1:19" ht="14.1" customHeight="1" thickBot="1" x14ac:dyDescent="0.25">
      <c r="A248" s="4" t="str">
        <f>"0603"</f>
        <v>0603</v>
      </c>
      <c r="B248" s="5">
        <v>38733</v>
      </c>
      <c r="C248" s="4"/>
      <c r="D248" s="4"/>
      <c r="E248" s="4"/>
      <c r="F248" s="4"/>
      <c r="G248" s="4"/>
      <c r="H248" s="4"/>
      <c r="I248" s="4"/>
      <c r="J248" s="4" t="s">
        <v>432</v>
      </c>
      <c r="K248" s="4" t="s">
        <v>433</v>
      </c>
      <c r="L248" s="4" t="str">
        <f>"0"</f>
        <v>0</v>
      </c>
      <c r="M248" s="3" t="str">
        <f>IF(H248 = "","",MONTH(H248))</f>
        <v/>
      </c>
      <c r="N248" s="3" t="str">
        <f>IF(H248 = "","",YEAR(H248))</f>
        <v/>
      </c>
      <c r="O248" s="6" t="str">
        <f t="shared" si="16"/>
        <v>-</v>
      </c>
      <c r="P248" s="6" t="str">
        <f t="shared" si="17"/>
        <v>-</v>
      </c>
      <c r="Q248" s="6" t="str">
        <f t="shared" si="18"/>
        <v>-</v>
      </c>
      <c r="R248" s="6" t="str">
        <f t="shared" si="19"/>
        <v>-</v>
      </c>
      <c r="S248" s="6" t="str">
        <f t="shared" si="20"/>
        <v>-</v>
      </c>
    </row>
    <row r="249" spans="1:19" ht="14.1" customHeight="1" thickBot="1" x14ac:dyDescent="0.25">
      <c r="A249" s="4" t="str">
        <f>"0602"</f>
        <v>0602</v>
      </c>
      <c r="B249" s="5">
        <v>38728</v>
      </c>
      <c r="C249" s="4"/>
      <c r="D249" s="4"/>
      <c r="E249" s="4"/>
      <c r="F249" s="4"/>
      <c r="G249" s="4"/>
      <c r="H249" s="4"/>
      <c r="I249" s="4" t="s">
        <v>434</v>
      </c>
      <c r="J249" s="4" t="s">
        <v>418</v>
      </c>
      <c r="K249" s="4"/>
      <c r="L249" s="4" t="str">
        <f>"0"</f>
        <v>0</v>
      </c>
      <c r="M249" s="3" t="str">
        <f>IF(H249 = "","",MONTH(H249))</f>
        <v/>
      </c>
      <c r="N249" s="3" t="str">
        <f>IF(H249 = "","",YEAR(H249))</f>
        <v/>
      </c>
      <c r="O249" s="6" t="str">
        <f t="shared" si="16"/>
        <v>-</v>
      </c>
      <c r="P249" s="6" t="str">
        <f t="shared" si="17"/>
        <v>-</v>
      </c>
      <c r="Q249" s="6" t="str">
        <f t="shared" si="18"/>
        <v>-</v>
      </c>
      <c r="R249" s="6" t="str">
        <f t="shared" si="19"/>
        <v>-</v>
      </c>
      <c r="S249" s="6" t="str">
        <f t="shared" si="20"/>
        <v>-</v>
      </c>
    </row>
    <row r="250" spans="1:19" ht="14.1" customHeight="1" thickBot="1" x14ac:dyDescent="0.25">
      <c r="A250" s="4" t="str">
        <f>"0605"</f>
        <v>0605</v>
      </c>
      <c r="B250" s="5">
        <v>38727</v>
      </c>
      <c r="C250" s="4"/>
      <c r="D250" s="4"/>
      <c r="E250" s="4"/>
      <c r="F250" s="4"/>
      <c r="G250" s="4"/>
      <c r="H250" s="4"/>
      <c r="I250" s="4"/>
      <c r="J250" s="4" t="s">
        <v>435</v>
      </c>
      <c r="K250" s="4" t="s">
        <v>118</v>
      </c>
      <c r="L250" s="4" t="str">
        <f>"0"</f>
        <v>0</v>
      </c>
      <c r="M250" s="3" t="str">
        <f>IF(H250 = "","",MONTH(H250))</f>
        <v/>
      </c>
      <c r="N250" s="3" t="str">
        <f>IF(H250 = "","",YEAR(H250))</f>
        <v/>
      </c>
      <c r="O250" s="6" t="str">
        <f t="shared" si="16"/>
        <v>-</v>
      </c>
      <c r="P250" s="6" t="str">
        <f t="shared" si="17"/>
        <v>-</v>
      </c>
      <c r="Q250" s="6" t="str">
        <f t="shared" si="18"/>
        <v>-</v>
      </c>
      <c r="R250" s="6" t="str">
        <f t="shared" si="19"/>
        <v>-</v>
      </c>
      <c r="S250" s="6" t="str">
        <f t="shared" si="20"/>
        <v>-</v>
      </c>
    </row>
    <row r="251" spans="1:19" ht="14.1" customHeight="1" thickBot="1" x14ac:dyDescent="0.25">
      <c r="A251" s="4" t="str">
        <f>"0601"</f>
        <v>0601</v>
      </c>
      <c r="B251" s="5">
        <v>38726</v>
      </c>
      <c r="C251" s="4"/>
      <c r="D251" s="4" t="str">
        <f>"06001"</f>
        <v>06001</v>
      </c>
      <c r="E251" s="4"/>
      <c r="F251" s="4"/>
      <c r="G251" s="4"/>
      <c r="H251" s="4"/>
      <c r="I251" s="4" t="s">
        <v>436</v>
      </c>
      <c r="J251" s="4" t="s">
        <v>437</v>
      </c>
      <c r="K251" s="4"/>
      <c r="L251" s="4" t="s">
        <v>431</v>
      </c>
      <c r="M251" s="3" t="str">
        <f>IF(H251 = "","",MONTH(H251))</f>
        <v/>
      </c>
      <c r="N251" s="3" t="str">
        <f>IF(H251 = "","",YEAR(H251))</f>
        <v/>
      </c>
      <c r="O251" s="6" t="str">
        <f t="shared" si="16"/>
        <v>-</v>
      </c>
      <c r="P251" s="6" t="str">
        <f t="shared" si="17"/>
        <v>-</v>
      </c>
      <c r="Q251" s="6" t="str">
        <f t="shared" si="18"/>
        <v>-</v>
      </c>
      <c r="R251" s="6" t="str">
        <f t="shared" si="19"/>
        <v>-</v>
      </c>
      <c r="S251" s="6" t="str">
        <f t="shared" si="20"/>
        <v>-</v>
      </c>
    </row>
    <row r="252" spans="1:19" ht="14.1" customHeight="1" thickBot="1" x14ac:dyDescent="0.25">
      <c r="A252" s="4" t="str">
        <f>"0533"</f>
        <v>0533</v>
      </c>
      <c r="B252" s="5">
        <v>38698</v>
      </c>
      <c r="C252" s="4"/>
      <c r="D252" s="4"/>
      <c r="E252" s="4"/>
      <c r="F252" s="4"/>
      <c r="G252" s="4"/>
      <c r="H252" s="4"/>
      <c r="I252" s="4" t="s">
        <v>438</v>
      </c>
      <c r="J252" s="4" t="s">
        <v>439</v>
      </c>
      <c r="K252" s="4" t="s">
        <v>90</v>
      </c>
      <c r="L252" s="4" t="str">
        <f>"0"</f>
        <v>0</v>
      </c>
      <c r="M252" s="3" t="str">
        <f>IF(H252 = "","",MONTH(H252))</f>
        <v/>
      </c>
      <c r="N252" s="3" t="str">
        <f>IF(H252 = "","",YEAR(H252))</f>
        <v/>
      </c>
      <c r="O252" s="6" t="str">
        <f t="shared" si="16"/>
        <v>-</v>
      </c>
      <c r="P252" s="6" t="str">
        <f t="shared" si="17"/>
        <v>-</v>
      </c>
      <c r="Q252" s="6" t="str">
        <f t="shared" si="18"/>
        <v>-</v>
      </c>
      <c r="R252" s="6" t="str">
        <f t="shared" si="19"/>
        <v>-</v>
      </c>
      <c r="S252" s="6" t="str">
        <f t="shared" si="20"/>
        <v>-</v>
      </c>
    </row>
    <row r="253" spans="1:19" ht="14.1" customHeight="1" thickBot="1" x14ac:dyDescent="0.25">
      <c r="A253" s="4" t="str">
        <f>"0536"</f>
        <v>0536</v>
      </c>
      <c r="B253" s="5">
        <v>38687</v>
      </c>
      <c r="C253" s="4"/>
      <c r="D253" s="4"/>
      <c r="E253" s="4"/>
      <c r="F253" s="4"/>
      <c r="G253" s="4"/>
      <c r="H253" s="4"/>
      <c r="I253" s="4"/>
      <c r="J253" s="4"/>
      <c r="K253" s="4"/>
      <c r="L253" s="4" t="str">
        <f>"0"</f>
        <v>0</v>
      </c>
      <c r="M253" s="3" t="str">
        <f>IF(H253 = "","",MONTH(H253))</f>
        <v/>
      </c>
      <c r="N253" s="3" t="str">
        <f>IF(H253 = "","",YEAR(H253))</f>
        <v/>
      </c>
      <c r="O253" s="6" t="str">
        <f t="shared" si="16"/>
        <v>-</v>
      </c>
      <c r="P253" s="6" t="str">
        <f t="shared" si="17"/>
        <v>-</v>
      </c>
      <c r="Q253" s="6" t="str">
        <f t="shared" si="18"/>
        <v>-</v>
      </c>
      <c r="R253" s="6" t="str">
        <f t="shared" si="19"/>
        <v>-</v>
      </c>
      <c r="S253" s="6" t="str">
        <f t="shared" si="20"/>
        <v>-</v>
      </c>
    </row>
    <row r="254" spans="1:19" ht="14.1" customHeight="1" thickBot="1" x14ac:dyDescent="0.25">
      <c r="A254" s="4" t="str">
        <f>"0534"</f>
        <v>0534</v>
      </c>
      <c r="B254" s="5">
        <v>38666</v>
      </c>
      <c r="C254" s="4"/>
      <c r="D254" s="4" t="str">
        <f>"05013"</f>
        <v>05013</v>
      </c>
      <c r="E254" s="4"/>
      <c r="F254" s="4"/>
      <c r="G254" s="4"/>
      <c r="H254" s="4"/>
      <c r="I254" s="4" t="s">
        <v>440</v>
      </c>
      <c r="J254" s="4" t="s">
        <v>441</v>
      </c>
      <c r="K254" s="4" t="s">
        <v>39</v>
      </c>
      <c r="L254" s="4" t="s">
        <v>162</v>
      </c>
      <c r="M254" s="3" t="str">
        <f>IF(H254 = "","",MONTH(H254))</f>
        <v/>
      </c>
      <c r="N254" s="3" t="str">
        <f>IF(H254 = "","",YEAR(H254))</f>
        <v/>
      </c>
      <c r="O254" s="6" t="str">
        <f t="shared" si="16"/>
        <v>-</v>
      </c>
      <c r="P254" s="6" t="str">
        <f t="shared" si="17"/>
        <v>-</v>
      </c>
      <c r="Q254" s="6" t="str">
        <f t="shared" si="18"/>
        <v>-</v>
      </c>
      <c r="R254" s="6" t="str">
        <f t="shared" si="19"/>
        <v>-</v>
      </c>
      <c r="S254" s="6" t="str">
        <f t="shared" si="20"/>
        <v>-</v>
      </c>
    </row>
    <row r="255" spans="1:19" ht="14.1" customHeight="1" thickBot="1" x14ac:dyDescent="0.25">
      <c r="A255" s="4" t="str">
        <f>"0532"</f>
        <v>0532</v>
      </c>
      <c r="B255" s="5">
        <v>38657</v>
      </c>
      <c r="C255" s="4"/>
      <c r="D255" s="4" t="str">
        <f>"05012"</f>
        <v>05012</v>
      </c>
      <c r="E255" s="4"/>
      <c r="F255" s="4"/>
      <c r="G255" s="4"/>
      <c r="H255" s="4"/>
      <c r="I255" s="4" t="s">
        <v>442</v>
      </c>
      <c r="J255" s="4" t="s">
        <v>153</v>
      </c>
      <c r="K255" s="4" t="s">
        <v>39</v>
      </c>
      <c r="L255" s="4" t="s">
        <v>21</v>
      </c>
      <c r="M255" s="3" t="str">
        <f>IF(H255 = "","",MONTH(H255))</f>
        <v/>
      </c>
      <c r="N255" s="3" t="str">
        <f>IF(H255 = "","",YEAR(H255))</f>
        <v/>
      </c>
      <c r="O255" s="6" t="str">
        <f t="shared" si="16"/>
        <v>-</v>
      </c>
      <c r="P255" s="6" t="str">
        <f t="shared" si="17"/>
        <v>-</v>
      </c>
      <c r="Q255" s="6" t="str">
        <f t="shared" si="18"/>
        <v>-</v>
      </c>
      <c r="R255" s="6" t="str">
        <f t="shared" si="19"/>
        <v>-</v>
      </c>
      <c r="S255" s="6" t="str">
        <f t="shared" si="20"/>
        <v>-</v>
      </c>
    </row>
    <row r="256" spans="1:19" ht="14.1" customHeight="1" thickBot="1" x14ac:dyDescent="0.25">
      <c r="A256" s="4" t="str">
        <f>"0535"</f>
        <v>0535</v>
      </c>
      <c r="B256" s="5">
        <v>38635</v>
      </c>
      <c r="C256" s="4"/>
      <c r="D256" s="4" t="str">
        <f>"05014"</f>
        <v>05014</v>
      </c>
      <c r="E256" s="4"/>
      <c r="F256" s="4"/>
      <c r="G256" s="4"/>
      <c r="H256" s="4"/>
      <c r="I256" s="4" t="s">
        <v>443</v>
      </c>
      <c r="J256" s="4" t="s">
        <v>444</v>
      </c>
      <c r="K256" s="4" t="s">
        <v>39</v>
      </c>
      <c r="L256" s="4" t="s">
        <v>162</v>
      </c>
      <c r="M256" s="3" t="str">
        <f>IF(H256 = "","",MONTH(H256))</f>
        <v/>
      </c>
      <c r="N256" s="3" t="str">
        <f>IF(H256 = "","",YEAR(H256))</f>
        <v/>
      </c>
      <c r="O256" s="6" t="str">
        <f t="shared" si="16"/>
        <v>-</v>
      </c>
      <c r="P256" s="6" t="str">
        <f t="shared" si="17"/>
        <v>-</v>
      </c>
      <c r="Q256" s="6" t="str">
        <f t="shared" si="18"/>
        <v>-</v>
      </c>
      <c r="R256" s="6" t="str">
        <f t="shared" si="19"/>
        <v>-</v>
      </c>
      <c r="S256" s="6" t="str">
        <f t="shared" si="20"/>
        <v>-</v>
      </c>
    </row>
    <row r="257" spans="1:19" ht="14.1" customHeight="1" thickBot="1" x14ac:dyDescent="0.25">
      <c r="A257" s="4" t="str">
        <f>"0612"</f>
        <v>0612</v>
      </c>
      <c r="B257" s="5">
        <v>38626</v>
      </c>
      <c r="C257" s="4"/>
      <c r="D257" s="4" t="str">
        <f>"06004"</f>
        <v>06004</v>
      </c>
      <c r="E257" s="4"/>
      <c r="F257" s="4"/>
      <c r="G257" s="4"/>
      <c r="H257" s="4"/>
      <c r="I257" s="4" t="s">
        <v>445</v>
      </c>
      <c r="J257" s="4" t="s">
        <v>439</v>
      </c>
      <c r="K257" s="4" t="s">
        <v>90</v>
      </c>
      <c r="L257" s="4" t="s">
        <v>21</v>
      </c>
      <c r="M257" s="3" t="str">
        <f>IF(H257 = "","",MONTH(H257))</f>
        <v/>
      </c>
      <c r="N257" s="3" t="str">
        <f>IF(H257 = "","",YEAR(H257))</f>
        <v/>
      </c>
      <c r="O257" s="6" t="str">
        <f t="shared" si="16"/>
        <v>-</v>
      </c>
      <c r="P257" s="6" t="str">
        <f t="shared" si="17"/>
        <v>-</v>
      </c>
      <c r="Q257" s="6" t="str">
        <f t="shared" si="18"/>
        <v>-</v>
      </c>
      <c r="R257" s="6" t="str">
        <f t="shared" si="19"/>
        <v>-</v>
      </c>
      <c r="S257" s="6" t="str">
        <f t="shared" si="20"/>
        <v>-</v>
      </c>
    </row>
    <row r="258" spans="1:19" ht="14.1" customHeight="1" thickBot="1" x14ac:dyDescent="0.25">
      <c r="A258" s="4" t="str">
        <f>"0616"</f>
        <v>0616</v>
      </c>
      <c r="B258" s="5">
        <v>38626</v>
      </c>
      <c r="C258" s="4"/>
      <c r="D258" s="4" t="str">
        <f>"06003"</f>
        <v>06003</v>
      </c>
      <c r="E258" s="4"/>
      <c r="F258" s="4"/>
      <c r="G258" s="4"/>
      <c r="H258" s="4"/>
      <c r="I258" s="4" t="s">
        <v>446</v>
      </c>
      <c r="J258" s="4" t="s">
        <v>447</v>
      </c>
      <c r="K258" s="4" t="s">
        <v>39</v>
      </c>
      <c r="L258" s="4" t="s">
        <v>21</v>
      </c>
      <c r="M258" s="3" t="str">
        <f>IF(H258 = "","",MONTH(H258))</f>
        <v/>
      </c>
      <c r="N258" s="3" t="str">
        <f>IF(H258 = "","",YEAR(H258))</f>
        <v/>
      </c>
      <c r="O258" s="6" t="str">
        <f t="shared" si="16"/>
        <v>-</v>
      </c>
      <c r="P258" s="6" t="str">
        <f t="shared" si="17"/>
        <v>-</v>
      </c>
      <c r="Q258" s="6" t="str">
        <f t="shared" si="18"/>
        <v>-</v>
      </c>
      <c r="R258" s="6" t="str">
        <f t="shared" si="19"/>
        <v>-</v>
      </c>
      <c r="S258" s="6" t="str">
        <f t="shared" si="20"/>
        <v>-</v>
      </c>
    </row>
    <row r="259" spans="1:19" ht="14.1" customHeight="1" thickBot="1" x14ac:dyDescent="0.25">
      <c r="A259" s="4" t="str">
        <f>"0530"</f>
        <v>0530</v>
      </c>
      <c r="B259" s="5">
        <v>38625</v>
      </c>
      <c r="C259" s="4"/>
      <c r="D259" s="4"/>
      <c r="E259" s="4"/>
      <c r="F259" s="4"/>
      <c r="G259" s="4"/>
      <c r="H259" s="4"/>
      <c r="I259" s="4"/>
      <c r="J259" s="4" t="s">
        <v>448</v>
      </c>
      <c r="K259" s="4" t="s">
        <v>449</v>
      </c>
      <c r="L259" s="4" t="str">
        <f>"0"</f>
        <v>0</v>
      </c>
      <c r="M259" s="3" t="str">
        <f>IF(H259 = "","",MONTH(H259))</f>
        <v/>
      </c>
      <c r="N259" s="3" t="str">
        <f>IF(H259 = "","",YEAR(H259))</f>
        <v/>
      </c>
      <c r="O259" s="6" t="str">
        <f t="shared" si="16"/>
        <v>-</v>
      </c>
      <c r="P259" s="6" t="str">
        <f t="shared" si="17"/>
        <v>-</v>
      </c>
      <c r="Q259" s="6" t="str">
        <f t="shared" si="18"/>
        <v>-</v>
      </c>
      <c r="R259" s="6" t="str">
        <f t="shared" si="19"/>
        <v>-</v>
      </c>
      <c r="S259" s="6" t="str">
        <f t="shared" si="20"/>
        <v>-</v>
      </c>
    </row>
    <row r="260" spans="1:19" ht="14.1" customHeight="1" thickBot="1" x14ac:dyDescent="0.25">
      <c r="A260" s="4" t="str">
        <f>"0531"</f>
        <v>0531</v>
      </c>
      <c r="B260" s="5">
        <v>38596</v>
      </c>
      <c r="C260" s="4"/>
      <c r="D260" s="4"/>
      <c r="E260" s="4"/>
      <c r="F260" s="4"/>
      <c r="G260" s="4"/>
      <c r="H260" s="4"/>
      <c r="I260" s="4"/>
      <c r="J260" s="4" t="s">
        <v>310</v>
      </c>
      <c r="K260" s="4" t="s">
        <v>419</v>
      </c>
      <c r="L260" s="4" t="str">
        <f>"0"</f>
        <v>0</v>
      </c>
      <c r="M260" s="3" t="str">
        <f>IF(H260 = "","",MONTH(H260))</f>
        <v/>
      </c>
      <c r="N260" s="3" t="str">
        <f>IF(H260 = "","",YEAR(H260))</f>
        <v/>
      </c>
      <c r="O260" s="6" t="str">
        <f t="shared" si="16"/>
        <v>-</v>
      </c>
      <c r="P260" s="6" t="str">
        <f t="shared" si="17"/>
        <v>-</v>
      </c>
      <c r="Q260" s="6" t="str">
        <f t="shared" si="18"/>
        <v>-</v>
      </c>
      <c r="R260" s="6" t="str">
        <f t="shared" si="19"/>
        <v>-</v>
      </c>
      <c r="S260" s="6" t="str">
        <f t="shared" si="20"/>
        <v>-</v>
      </c>
    </row>
    <row r="261" spans="1:19" ht="14.1" customHeight="1" thickBot="1" x14ac:dyDescent="0.25">
      <c r="A261" s="4" t="str">
        <f>"0526"</f>
        <v>0526</v>
      </c>
      <c r="B261" s="5">
        <v>38553</v>
      </c>
      <c r="C261" s="4"/>
      <c r="D261" s="4" t="str">
        <f>"05010"</f>
        <v>05010</v>
      </c>
      <c r="E261" s="4"/>
      <c r="F261" s="4"/>
      <c r="G261" s="4"/>
      <c r="H261" s="4"/>
      <c r="I261" s="4" t="s">
        <v>450</v>
      </c>
      <c r="J261" s="4" t="s">
        <v>451</v>
      </c>
      <c r="K261" s="4" t="s">
        <v>90</v>
      </c>
      <c r="L261" s="4" t="s">
        <v>21</v>
      </c>
      <c r="M261" s="3" t="str">
        <f>IF(H261 = "","",MONTH(H261))</f>
        <v/>
      </c>
      <c r="N261" s="3" t="str">
        <f>IF(H261 = "","",YEAR(H261))</f>
        <v/>
      </c>
      <c r="O261" s="6" t="str">
        <f t="shared" si="16"/>
        <v>-</v>
      </c>
      <c r="P261" s="6" t="str">
        <f t="shared" si="17"/>
        <v>-</v>
      </c>
      <c r="Q261" s="6" t="str">
        <f t="shared" si="18"/>
        <v>-</v>
      </c>
      <c r="R261" s="6" t="str">
        <f t="shared" si="19"/>
        <v>-</v>
      </c>
      <c r="S261" s="6" t="str">
        <f t="shared" si="20"/>
        <v>-</v>
      </c>
    </row>
    <row r="262" spans="1:19" ht="14.1" customHeight="1" thickBot="1" x14ac:dyDescent="0.25">
      <c r="A262" s="4" t="str">
        <f>"0524"</f>
        <v>0524</v>
      </c>
      <c r="B262" s="5">
        <v>38541</v>
      </c>
      <c r="C262" s="4"/>
      <c r="D262" s="4"/>
      <c r="E262" s="4"/>
      <c r="F262" s="4"/>
      <c r="G262" s="4"/>
      <c r="H262" s="4"/>
      <c r="I262" s="4"/>
      <c r="J262" s="4" t="s">
        <v>452</v>
      </c>
      <c r="K262" s="4" t="s">
        <v>90</v>
      </c>
      <c r="L262" s="4" t="str">
        <f>"0"</f>
        <v>0</v>
      </c>
      <c r="M262" s="3" t="str">
        <f>IF(H262 = "","",MONTH(H262))</f>
        <v/>
      </c>
      <c r="N262" s="3" t="str">
        <f>IF(H262 = "","",YEAR(H262))</f>
        <v/>
      </c>
      <c r="O262" s="6" t="str">
        <f t="shared" si="16"/>
        <v>-</v>
      </c>
      <c r="P262" s="6" t="str">
        <f t="shared" si="17"/>
        <v>-</v>
      </c>
      <c r="Q262" s="6" t="str">
        <f t="shared" si="18"/>
        <v>-</v>
      </c>
      <c r="R262" s="6" t="str">
        <f t="shared" si="19"/>
        <v>-</v>
      </c>
      <c r="S262" s="6" t="str">
        <f t="shared" si="20"/>
        <v>-</v>
      </c>
    </row>
    <row r="263" spans="1:19" ht="14.1" customHeight="1" thickBot="1" x14ac:dyDescent="0.25">
      <c r="A263" s="4" t="str">
        <f>"0528"</f>
        <v>0528</v>
      </c>
      <c r="B263" s="5">
        <v>38534</v>
      </c>
      <c r="C263" s="4"/>
      <c r="D263" s="4" t="str">
        <f>"05011"</f>
        <v>05011</v>
      </c>
      <c r="E263" s="4"/>
      <c r="F263" s="4"/>
      <c r="G263" s="4"/>
      <c r="H263" s="4"/>
      <c r="I263" s="4" t="s">
        <v>453</v>
      </c>
      <c r="J263" s="4" t="s">
        <v>454</v>
      </c>
      <c r="K263" s="4" t="s">
        <v>90</v>
      </c>
      <c r="L263" s="4" t="s">
        <v>127</v>
      </c>
      <c r="M263" s="3" t="str">
        <f>IF(H263 = "","",MONTH(H263))</f>
        <v/>
      </c>
      <c r="N263" s="3" t="str">
        <f>IF(H263 = "","",YEAR(H263))</f>
        <v/>
      </c>
      <c r="O263" s="6" t="str">
        <f t="shared" ref="O263:O326" si="23">IF(B263="","-",IF(E263="","-",DAYS360(B263,E263)))</f>
        <v>-</v>
      </c>
      <c r="P263" s="6" t="str">
        <f t="shared" ref="P263:P326" si="24">IF(C263="","-",IF(E263="","-",DAYS360(C263,E263)))</f>
        <v>-</v>
      </c>
      <c r="Q263" s="6" t="str">
        <f t="shared" ref="Q263:Q326" si="25">IF(E263="","-",IF(F263="","-",DAYS360(E263,F263)))</f>
        <v>-</v>
      </c>
      <c r="R263" s="6" t="str">
        <f t="shared" ref="R263:R326" si="26">IF(E263="","-",IF(G263="","-",DAYS360(E263,G263)))</f>
        <v>-</v>
      </c>
      <c r="S263" s="6" t="str">
        <f t="shared" ref="S263:S326" si="27">IF(E263="","-",IF(H263="","-",DAYS360(E263,H263)))</f>
        <v>-</v>
      </c>
    </row>
    <row r="264" spans="1:19" ht="14.1" customHeight="1" thickBot="1" x14ac:dyDescent="0.25">
      <c r="A264" s="4" t="str">
        <f>"0521"</f>
        <v>0521</v>
      </c>
      <c r="B264" s="5">
        <v>38534</v>
      </c>
      <c r="C264" s="4"/>
      <c r="D264" s="4"/>
      <c r="E264" s="4"/>
      <c r="F264" s="4"/>
      <c r="G264" s="4"/>
      <c r="H264" s="4"/>
      <c r="I264" s="4"/>
      <c r="J264" s="4" t="s">
        <v>455</v>
      </c>
      <c r="K264" s="4" t="s">
        <v>90</v>
      </c>
      <c r="L264" s="4" t="str">
        <f>"0"</f>
        <v>0</v>
      </c>
      <c r="M264" s="3" t="str">
        <f>IF(H264 = "","",MONTH(H264))</f>
        <v/>
      </c>
      <c r="N264" s="3" t="str">
        <f>IF(H264 = "","",YEAR(H264))</f>
        <v/>
      </c>
      <c r="O264" s="6" t="str">
        <f t="shared" si="23"/>
        <v>-</v>
      </c>
      <c r="P264" s="6" t="str">
        <f t="shared" si="24"/>
        <v>-</v>
      </c>
      <c r="Q264" s="6" t="str">
        <f t="shared" si="25"/>
        <v>-</v>
      </c>
      <c r="R264" s="6" t="str">
        <f t="shared" si="26"/>
        <v>-</v>
      </c>
      <c r="S264" s="6" t="str">
        <f t="shared" si="27"/>
        <v>-</v>
      </c>
    </row>
    <row r="265" spans="1:19" ht="14.1" customHeight="1" thickBot="1" x14ac:dyDescent="0.25">
      <c r="A265" s="4" t="str">
        <f>"0522"</f>
        <v>0522</v>
      </c>
      <c r="B265" s="5">
        <v>38532</v>
      </c>
      <c r="C265" s="4"/>
      <c r="D265" s="4" t="str">
        <f>"05007"</f>
        <v>05007</v>
      </c>
      <c r="E265" s="4"/>
      <c r="F265" s="4"/>
      <c r="G265" s="4"/>
      <c r="H265" s="4"/>
      <c r="I265" s="4" t="s">
        <v>456</v>
      </c>
      <c r="J265" s="4" t="s">
        <v>457</v>
      </c>
      <c r="K265" s="4" t="s">
        <v>362</v>
      </c>
      <c r="L265" s="4" t="s">
        <v>162</v>
      </c>
      <c r="M265" s="3" t="str">
        <f>IF(H265 = "","",MONTH(H265))</f>
        <v/>
      </c>
      <c r="N265" s="3" t="str">
        <f>IF(H265 = "","",YEAR(H265))</f>
        <v/>
      </c>
      <c r="O265" s="6" t="str">
        <f t="shared" si="23"/>
        <v>-</v>
      </c>
      <c r="P265" s="6" t="str">
        <f t="shared" si="24"/>
        <v>-</v>
      </c>
      <c r="Q265" s="6" t="str">
        <f t="shared" si="25"/>
        <v>-</v>
      </c>
      <c r="R265" s="6" t="str">
        <f t="shared" si="26"/>
        <v>-</v>
      </c>
      <c r="S265" s="6" t="str">
        <f t="shared" si="27"/>
        <v>-</v>
      </c>
    </row>
    <row r="266" spans="1:19" ht="14.1" customHeight="1" thickBot="1" x14ac:dyDescent="0.25">
      <c r="A266" s="4" t="str">
        <f>"0523"</f>
        <v>0523</v>
      </c>
      <c r="B266" s="5">
        <v>38518</v>
      </c>
      <c r="C266" s="4"/>
      <c r="D266" s="4" t="str">
        <f>"05008"</f>
        <v>05008</v>
      </c>
      <c r="E266" s="4"/>
      <c r="F266" s="4"/>
      <c r="G266" s="4"/>
      <c r="H266" s="4"/>
      <c r="I266" s="4" t="s">
        <v>458</v>
      </c>
      <c r="J266" s="4" t="s">
        <v>459</v>
      </c>
      <c r="K266" s="4" t="s">
        <v>90</v>
      </c>
      <c r="L266" s="4" t="s">
        <v>21</v>
      </c>
      <c r="M266" s="3" t="str">
        <f>IF(H266 = "","",MONTH(H266))</f>
        <v/>
      </c>
      <c r="N266" s="3" t="str">
        <f>IF(H266 = "","",YEAR(H266))</f>
        <v/>
      </c>
      <c r="O266" s="6" t="str">
        <f t="shared" si="23"/>
        <v>-</v>
      </c>
      <c r="P266" s="6" t="str">
        <f t="shared" si="24"/>
        <v>-</v>
      </c>
      <c r="Q266" s="6" t="str">
        <f t="shared" si="25"/>
        <v>-</v>
      </c>
      <c r="R266" s="6" t="str">
        <f t="shared" si="26"/>
        <v>-</v>
      </c>
      <c r="S266" s="6" t="str">
        <f t="shared" si="27"/>
        <v>-</v>
      </c>
    </row>
    <row r="267" spans="1:19" ht="14.1" customHeight="1" thickBot="1" x14ac:dyDescent="0.25">
      <c r="A267" s="4" t="str">
        <f>"0517"</f>
        <v>0517</v>
      </c>
      <c r="B267" s="5">
        <v>38512</v>
      </c>
      <c r="C267" s="4"/>
      <c r="D267" s="4" t="str">
        <f>"05006"</f>
        <v>05006</v>
      </c>
      <c r="E267" s="4"/>
      <c r="F267" s="4"/>
      <c r="G267" s="4"/>
      <c r="H267" s="4"/>
      <c r="I267" s="4" t="s">
        <v>460</v>
      </c>
      <c r="J267" s="4" t="s">
        <v>461</v>
      </c>
      <c r="K267" s="4" t="s">
        <v>56</v>
      </c>
      <c r="L267" s="4" t="s">
        <v>21</v>
      </c>
      <c r="M267" s="3" t="str">
        <f>IF(H267 = "","",MONTH(H267))</f>
        <v/>
      </c>
      <c r="N267" s="3" t="str">
        <f>IF(H267 = "","",YEAR(H267))</f>
        <v/>
      </c>
      <c r="O267" s="6" t="str">
        <f t="shared" si="23"/>
        <v>-</v>
      </c>
      <c r="P267" s="6" t="str">
        <f t="shared" si="24"/>
        <v>-</v>
      </c>
      <c r="Q267" s="6" t="str">
        <f t="shared" si="25"/>
        <v>-</v>
      </c>
      <c r="R267" s="6" t="str">
        <f t="shared" si="26"/>
        <v>-</v>
      </c>
      <c r="S267" s="6" t="str">
        <f t="shared" si="27"/>
        <v>-</v>
      </c>
    </row>
    <row r="268" spans="1:19" ht="14.1" customHeight="1" thickBot="1" x14ac:dyDescent="0.25">
      <c r="A268" s="4" t="str">
        <f>"0529"</f>
        <v>0529</v>
      </c>
      <c r="B268" s="5">
        <v>38504</v>
      </c>
      <c r="C268" s="4"/>
      <c r="D268" s="4"/>
      <c r="E268" s="4"/>
      <c r="F268" s="4"/>
      <c r="G268" s="4"/>
      <c r="H268" s="4"/>
      <c r="I268" s="4"/>
      <c r="J268" s="4" t="s">
        <v>462</v>
      </c>
      <c r="K268" s="4"/>
      <c r="L268" s="4" t="str">
        <f>"0"</f>
        <v>0</v>
      </c>
      <c r="M268" s="3" t="str">
        <f>IF(H268 = "","",MONTH(H268))</f>
        <v/>
      </c>
      <c r="N268" s="3" t="str">
        <f>IF(H268 = "","",YEAR(H268))</f>
        <v/>
      </c>
      <c r="O268" s="6" t="str">
        <f t="shared" si="23"/>
        <v>-</v>
      </c>
      <c r="P268" s="6" t="str">
        <f t="shared" si="24"/>
        <v>-</v>
      </c>
      <c r="Q268" s="6" t="str">
        <f t="shared" si="25"/>
        <v>-</v>
      </c>
      <c r="R268" s="6" t="str">
        <f t="shared" si="26"/>
        <v>-</v>
      </c>
      <c r="S268" s="6" t="str">
        <f t="shared" si="27"/>
        <v>-</v>
      </c>
    </row>
    <row r="269" spans="1:19" ht="14.1" customHeight="1" thickBot="1" x14ac:dyDescent="0.25">
      <c r="A269" s="4" t="str">
        <f>"0519"</f>
        <v>0519</v>
      </c>
      <c r="B269" s="5">
        <v>38503</v>
      </c>
      <c r="C269" s="4"/>
      <c r="D269" s="4"/>
      <c r="E269" s="4"/>
      <c r="F269" s="4"/>
      <c r="G269" s="4"/>
      <c r="H269" s="4"/>
      <c r="I269" s="4"/>
      <c r="J269" s="4" t="s">
        <v>463</v>
      </c>
      <c r="K269" s="4" t="s">
        <v>464</v>
      </c>
      <c r="L269" s="4" t="str">
        <f>"0"</f>
        <v>0</v>
      </c>
      <c r="M269" s="3" t="str">
        <f>IF(H269 = "","",MONTH(H269))</f>
        <v/>
      </c>
      <c r="N269" s="3" t="str">
        <f>IF(H269 = "","",YEAR(H269))</f>
        <v/>
      </c>
      <c r="O269" s="6" t="str">
        <f t="shared" si="23"/>
        <v>-</v>
      </c>
      <c r="P269" s="6" t="str">
        <f t="shared" si="24"/>
        <v>-</v>
      </c>
      <c r="Q269" s="6" t="str">
        <f t="shared" si="25"/>
        <v>-</v>
      </c>
      <c r="R269" s="6" t="str">
        <f t="shared" si="26"/>
        <v>-</v>
      </c>
      <c r="S269" s="6" t="str">
        <f t="shared" si="27"/>
        <v>-</v>
      </c>
    </row>
    <row r="270" spans="1:19" ht="14.1" customHeight="1" thickBot="1" x14ac:dyDescent="0.25">
      <c r="A270" s="4" t="str">
        <f>"0518"</f>
        <v>0518</v>
      </c>
      <c r="B270" s="5">
        <v>38485</v>
      </c>
      <c r="C270" s="4"/>
      <c r="D270" s="4"/>
      <c r="E270" s="4"/>
      <c r="F270" s="4"/>
      <c r="G270" s="4"/>
      <c r="H270" s="4"/>
      <c r="I270" s="4"/>
      <c r="J270" s="4" t="s">
        <v>465</v>
      </c>
      <c r="K270" s="4" t="s">
        <v>419</v>
      </c>
      <c r="L270" s="4" t="str">
        <f>"0"</f>
        <v>0</v>
      </c>
      <c r="M270" s="3" t="str">
        <f>IF(H270 = "","",MONTH(H270))</f>
        <v/>
      </c>
      <c r="N270" s="3" t="str">
        <f>IF(H270 = "","",YEAR(H270))</f>
        <v/>
      </c>
      <c r="O270" s="6" t="str">
        <f t="shared" si="23"/>
        <v>-</v>
      </c>
      <c r="P270" s="6" t="str">
        <f t="shared" si="24"/>
        <v>-</v>
      </c>
      <c r="Q270" s="6" t="str">
        <f t="shared" si="25"/>
        <v>-</v>
      </c>
      <c r="R270" s="6" t="str">
        <f t="shared" si="26"/>
        <v>-</v>
      </c>
      <c r="S270" s="6" t="str">
        <f t="shared" si="27"/>
        <v>-</v>
      </c>
    </row>
    <row r="271" spans="1:19" ht="14.1" customHeight="1" thickBot="1" x14ac:dyDescent="0.25">
      <c r="A271" s="4" t="str">
        <f>"0515"</f>
        <v>0515</v>
      </c>
      <c r="B271" s="5">
        <v>38478</v>
      </c>
      <c r="C271" s="4"/>
      <c r="D271" s="4" t="str">
        <f>"05003"</f>
        <v>05003</v>
      </c>
      <c r="E271" s="4"/>
      <c r="F271" s="4"/>
      <c r="G271" s="4"/>
      <c r="H271" s="4"/>
      <c r="I271" s="4" t="s">
        <v>466</v>
      </c>
      <c r="J271" s="4" t="s">
        <v>387</v>
      </c>
      <c r="K271" s="4" t="s">
        <v>388</v>
      </c>
      <c r="L271" s="4" t="s">
        <v>162</v>
      </c>
      <c r="M271" s="3" t="str">
        <f>IF(H271 = "","",MONTH(H271))</f>
        <v/>
      </c>
      <c r="N271" s="3" t="str">
        <f>IF(H271 = "","",YEAR(H271))</f>
        <v/>
      </c>
      <c r="O271" s="6" t="str">
        <f t="shared" si="23"/>
        <v>-</v>
      </c>
      <c r="P271" s="6" t="str">
        <f t="shared" si="24"/>
        <v>-</v>
      </c>
      <c r="Q271" s="6" t="str">
        <f t="shared" si="25"/>
        <v>-</v>
      </c>
      <c r="R271" s="6" t="str">
        <f t="shared" si="26"/>
        <v>-</v>
      </c>
      <c r="S271" s="6" t="str">
        <f t="shared" si="27"/>
        <v>-</v>
      </c>
    </row>
    <row r="272" spans="1:19" ht="14.1" customHeight="1" thickBot="1" x14ac:dyDescent="0.25">
      <c r="A272" s="4" t="str">
        <f>"0525"</f>
        <v>0525</v>
      </c>
      <c r="B272" s="5">
        <v>38473</v>
      </c>
      <c r="C272" s="4"/>
      <c r="D272" s="4" t="str">
        <f>"05009"</f>
        <v>05009</v>
      </c>
      <c r="E272" s="4"/>
      <c r="F272" s="4"/>
      <c r="G272" s="4"/>
      <c r="H272" s="4"/>
      <c r="I272" s="4" t="s">
        <v>467</v>
      </c>
      <c r="J272" s="4" t="s">
        <v>468</v>
      </c>
      <c r="K272" s="4" t="s">
        <v>90</v>
      </c>
      <c r="L272" s="4" t="s">
        <v>21</v>
      </c>
      <c r="M272" s="3" t="str">
        <f>IF(H272 = "","",MONTH(H272))</f>
        <v/>
      </c>
      <c r="N272" s="3" t="str">
        <f>IF(H272 = "","",YEAR(H272))</f>
        <v/>
      </c>
      <c r="O272" s="6" t="str">
        <f t="shared" si="23"/>
        <v>-</v>
      </c>
      <c r="P272" s="6" t="str">
        <f t="shared" si="24"/>
        <v>-</v>
      </c>
      <c r="Q272" s="6" t="str">
        <f t="shared" si="25"/>
        <v>-</v>
      </c>
      <c r="R272" s="6" t="str">
        <f t="shared" si="26"/>
        <v>-</v>
      </c>
      <c r="S272" s="6" t="str">
        <f t="shared" si="27"/>
        <v>-</v>
      </c>
    </row>
    <row r="273" spans="1:19" ht="14.1" customHeight="1" thickBot="1" x14ac:dyDescent="0.25">
      <c r="A273" s="4" t="str">
        <f>"0514"</f>
        <v>0514</v>
      </c>
      <c r="B273" s="5">
        <v>38470</v>
      </c>
      <c r="C273" s="4"/>
      <c r="D273" s="4"/>
      <c r="E273" s="4"/>
      <c r="F273" s="4"/>
      <c r="G273" s="4"/>
      <c r="H273" s="4"/>
      <c r="I273" s="4" t="s">
        <v>420</v>
      </c>
      <c r="J273" s="4" t="s">
        <v>469</v>
      </c>
      <c r="K273" s="4" t="s">
        <v>470</v>
      </c>
      <c r="L273" s="4" t="str">
        <f>"0"</f>
        <v>0</v>
      </c>
      <c r="M273" s="3" t="str">
        <f>IF(H273 = "","",MONTH(H273))</f>
        <v/>
      </c>
      <c r="N273" s="3" t="str">
        <f>IF(H273 = "","",YEAR(H273))</f>
        <v/>
      </c>
      <c r="O273" s="6" t="str">
        <f t="shared" si="23"/>
        <v>-</v>
      </c>
      <c r="P273" s="6" t="str">
        <f t="shared" si="24"/>
        <v>-</v>
      </c>
      <c r="Q273" s="6" t="str">
        <f t="shared" si="25"/>
        <v>-</v>
      </c>
      <c r="R273" s="6" t="str">
        <f t="shared" si="26"/>
        <v>-</v>
      </c>
      <c r="S273" s="6" t="str">
        <f t="shared" si="27"/>
        <v>-</v>
      </c>
    </row>
    <row r="274" spans="1:19" ht="14.1" customHeight="1" thickBot="1" x14ac:dyDescent="0.25">
      <c r="A274" s="4" t="str">
        <f>"0513"</f>
        <v>0513</v>
      </c>
      <c r="B274" s="5">
        <v>38462</v>
      </c>
      <c r="C274" s="4"/>
      <c r="D274" s="4" t="str">
        <f>"05004"</f>
        <v>05004</v>
      </c>
      <c r="E274" s="4"/>
      <c r="F274" s="4"/>
      <c r="G274" s="4"/>
      <c r="H274" s="4"/>
      <c r="I274" s="4" t="s">
        <v>471</v>
      </c>
      <c r="J274" s="4" t="s">
        <v>472</v>
      </c>
      <c r="K274" s="4" t="s">
        <v>90</v>
      </c>
      <c r="L274" s="4" t="s">
        <v>21</v>
      </c>
      <c r="M274" s="3" t="str">
        <f>IF(H274 = "","",MONTH(H274))</f>
        <v/>
      </c>
      <c r="N274" s="3" t="str">
        <f>IF(H274 = "","",YEAR(H274))</f>
        <v/>
      </c>
      <c r="O274" s="6" t="str">
        <f t="shared" si="23"/>
        <v>-</v>
      </c>
      <c r="P274" s="6" t="str">
        <f t="shared" si="24"/>
        <v>-</v>
      </c>
      <c r="Q274" s="6" t="str">
        <f t="shared" si="25"/>
        <v>-</v>
      </c>
      <c r="R274" s="6" t="str">
        <f t="shared" si="26"/>
        <v>-</v>
      </c>
      <c r="S274" s="6" t="str">
        <f t="shared" si="27"/>
        <v>-</v>
      </c>
    </row>
    <row r="275" spans="1:19" ht="14.1" customHeight="1" thickBot="1" x14ac:dyDescent="0.25">
      <c r="A275" s="4" t="str">
        <f>"0512"</f>
        <v>0512</v>
      </c>
      <c r="B275" s="5">
        <v>38460</v>
      </c>
      <c r="C275" s="4"/>
      <c r="D275" s="4"/>
      <c r="E275" s="4"/>
      <c r="F275" s="4"/>
      <c r="G275" s="4"/>
      <c r="H275" s="4"/>
      <c r="I275" s="4" t="s">
        <v>473</v>
      </c>
      <c r="J275" s="4" t="s">
        <v>474</v>
      </c>
      <c r="K275" s="4" t="s">
        <v>475</v>
      </c>
      <c r="L275" s="4" t="str">
        <f>"0"</f>
        <v>0</v>
      </c>
      <c r="M275" s="3" t="str">
        <f>IF(H275 = "","",MONTH(H275))</f>
        <v/>
      </c>
      <c r="N275" s="3" t="str">
        <f>IF(H275 = "","",YEAR(H275))</f>
        <v/>
      </c>
      <c r="O275" s="6" t="str">
        <f t="shared" si="23"/>
        <v>-</v>
      </c>
      <c r="P275" s="6" t="str">
        <f t="shared" si="24"/>
        <v>-</v>
      </c>
      <c r="Q275" s="6" t="str">
        <f t="shared" si="25"/>
        <v>-</v>
      </c>
      <c r="R275" s="6" t="str">
        <f t="shared" si="26"/>
        <v>-</v>
      </c>
      <c r="S275" s="6" t="str">
        <f t="shared" si="27"/>
        <v>-</v>
      </c>
    </row>
    <row r="276" spans="1:19" ht="14.1" customHeight="1" thickBot="1" x14ac:dyDescent="0.25">
      <c r="A276" s="4" t="str">
        <f>"0511"</f>
        <v>0511</v>
      </c>
      <c r="B276" s="5">
        <v>38443</v>
      </c>
      <c r="C276" s="4"/>
      <c r="D276" s="4" t="str">
        <f>"05002"</f>
        <v>05002</v>
      </c>
      <c r="E276" s="4"/>
      <c r="F276" s="4"/>
      <c r="G276" s="4"/>
      <c r="H276" s="4"/>
      <c r="I276" s="4" t="s">
        <v>476</v>
      </c>
      <c r="J276" s="4" t="s">
        <v>477</v>
      </c>
      <c r="K276" s="4" t="s">
        <v>39</v>
      </c>
      <c r="L276" s="4" t="s">
        <v>21</v>
      </c>
      <c r="M276" s="3" t="str">
        <f>IF(H276 = "","",MONTH(H276))</f>
        <v/>
      </c>
      <c r="N276" s="3" t="str">
        <f>IF(H276 = "","",YEAR(H276))</f>
        <v/>
      </c>
      <c r="O276" s="6" t="str">
        <f t="shared" si="23"/>
        <v>-</v>
      </c>
      <c r="P276" s="6" t="str">
        <f t="shared" si="24"/>
        <v>-</v>
      </c>
      <c r="Q276" s="6" t="str">
        <f t="shared" si="25"/>
        <v>-</v>
      </c>
      <c r="R276" s="6" t="str">
        <f t="shared" si="26"/>
        <v>-</v>
      </c>
      <c r="S276" s="6" t="str">
        <f t="shared" si="27"/>
        <v>-</v>
      </c>
    </row>
    <row r="277" spans="1:19" ht="14.1" customHeight="1" thickBot="1" x14ac:dyDescent="0.25">
      <c r="A277" s="4" t="str">
        <f>"0509"</f>
        <v>0509</v>
      </c>
      <c r="B277" s="5">
        <v>38443</v>
      </c>
      <c r="C277" s="4"/>
      <c r="D277" s="4"/>
      <c r="E277" s="4"/>
      <c r="F277" s="4"/>
      <c r="G277" s="4"/>
      <c r="H277" s="4"/>
      <c r="I277" s="4"/>
      <c r="J277" s="4" t="s">
        <v>478</v>
      </c>
      <c r="K277" s="4"/>
      <c r="L277" s="4" t="str">
        <f>"0"</f>
        <v>0</v>
      </c>
      <c r="M277" s="3" t="str">
        <f>IF(H277 = "","",MONTH(H277))</f>
        <v/>
      </c>
      <c r="N277" s="3" t="str">
        <f>IF(H277 = "","",YEAR(H277))</f>
        <v/>
      </c>
      <c r="O277" s="6" t="str">
        <f t="shared" si="23"/>
        <v>-</v>
      </c>
      <c r="P277" s="6" t="str">
        <f t="shared" si="24"/>
        <v>-</v>
      </c>
      <c r="Q277" s="6" t="str">
        <f t="shared" si="25"/>
        <v>-</v>
      </c>
      <c r="R277" s="6" t="str">
        <f t="shared" si="26"/>
        <v>-</v>
      </c>
      <c r="S277" s="6" t="str">
        <f t="shared" si="27"/>
        <v>-</v>
      </c>
    </row>
    <row r="278" spans="1:19" ht="14.1" customHeight="1" thickBot="1" x14ac:dyDescent="0.25">
      <c r="A278" s="4" t="str">
        <f>"0508"</f>
        <v>0508</v>
      </c>
      <c r="B278" s="5">
        <v>38434</v>
      </c>
      <c r="C278" s="4"/>
      <c r="D278" s="4"/>
      <c r="E278" s="4"/>
      <c r="F278" s="4"/>
      <c r="G278" s="4"/>
      <c r="H278" s="4"/>
      <c r="I278" s="4" t="s">
        <v>479</v>
      </c>
      <c r="J278" s="4" t="s">
        <v>480</v>
      </c>
      <c r="K278" s="4" t="s">
        <v>481</v>
      </c>
      <c r="L278" s="4" t="str">
        <f>"0"</f>
        <v>0</v>
      </c>
      <c r="M278" s="3" t="str">
        <f>IF(H278 = "","",MONTH(H278))</f>
        <v/>
      </c>
      <c r="N278" s="3" t="str">
        <f>IF(H278 = "","",YEAR(H278))</f>
        <v/>
      </c>
      <c r="O278" s="6" t="str">
        <f t="shared" si="23"/>
        <v>-</v>
      </c>
      <c r="P278" s="6" t="str">
        <f t="shared" si="24"/>
        <v>-</v>
      </c>
      <c r="Q278" s="6" t="str">
        <f t="shared" si="25"/>
        <v>-</v>
      </c>
      <c r="R278" s="6" t="str">
        <f t="shared" si="26"/>
        <v>-</v>
      </c>
      <c r="S278" s="6" t="str">
        <f t="shared" si="27"/>
        <v>-</v>
      </c>
    </row>
    <row r="279" spans="1:19" ht="14.1" customHeight="1" thickBot="1" x14ac:dyDescent="0.25">
      <c r="A279" s="4" t="str">
        <f>"0507"</f>
        <v>0507</v>
      </c>
      <c r="B279" s="5">
        <v>38425</v>
      </c>
      <c r="C279" s="4"/>
      <c r="D279" s="4"/>
      <c r="E279" s="4"/>
      <c r="F279" s="4"/>
      <c r="G279" s="4"/>
      <c r="H279" s="4"/>
      <c r="I279" s="4"/>
      <c r="J279" s="4" t="s">
        <v>482</v>
      </c>
      <c r="K279" s="4" t="s">
        <v>90</v>
      </c>
      <c r="L279" s="4" t="str">
        <f>"1"</f>
        <v>1</v>
      </c>
      <c r="M279" s="3" t="str">
        <f>IF(H279 = "","",MONTH(H279))</f>
        <v/>
      </c>
      <c r="N279" s="3" t="str">
        <f>IF(H279 = "","",YEAR(H279))</f>
        <v/>
      </c>
      <c r="O279" s="6" t="str">
        <f t="shared" si="23"/>
        <v>-</v>
      </c>
      <c r="P279" s="6" t="str">
        <f t="shared" si="24"/>
        <v>-</v>
      </c>
      <c r="Q279" s="6" t="str">
        <f t="shared" si="25"/>
        <v>-</v>
      </c>
      <c r="R279" s="6" t="str">
        <f t="shared" si="26"/>
        <v>-</v>
      </c>
      <c r="S279" s="6" t="str">
        <f t="shared" si="27"/>
        <v>-</v>
      </c>
    </row>
    <row r="280" spans="1:19" ht="14.1" customHeight="1" thickBot="1" x14ac:dyDescent="0.25">
      <c r="A280" s="4" t="str">
        <f>"0505"</f>
        <v>0505</v>
      </c>
      <c r="B280" s="5">
        <v>38403</v>
      </c>
      <c r="C280" s="4"/>
      <c r="D280" s="4"/>
      <c r="E280" s="4"/>
      <c r="F280" s="4"/>
      <c r="G280" s="4"/>
      <c r="H280" s="4"/>
      <c r="I280" s="4"/>
      <c r="J280" s="4" t="s">
        <v>483</v>
      </c>
      <c r="K280" s="4" t="s">
        <v>20</v>
      </c>
      <c r="L280" s="4" t="str">
        <f>"0"</f>
        <v>0</v>
      </c>
      <c r="M280" s="3" t="str">
        <f>IF(H280 = "","",MONTH(H280))</f>
        <v/>
      </c>
      <c r="N280" s="3" t="str">
        <f>IF(H280 = "","",YEAR(H280))</f>
        <v/>
      </c>
      <c r="O280" s="6" t="str">
        <f t="shared" si="23"/>
        <v>-</v>
      </c>
      <c r="P280" s="6" t="str">
        <f t="shared" si="24"/>
        <v>-</v>
      </c>
      <c r="Q280" s="6" t="str">
        <f t="shared" si="25"/>
        <v>-</v>
      </c>
      <c r="R280" s="6" t="str">
        <f t="shared" si="26"/>
        <v>-</v>
      </c>
      <c r="S280" s="6" t="str">
        <f t="shared" si="27"/>
        <v>-</v>
      </c>
    </row>
    <row r="281" spans="1:19" ht="14.1" customHeight="1" thickBot="1" x14ac:dyDescent="0.25">
      <c r="A281" s="4" t="str">
        <f>"0502"</f>
        <v>0502</v>
      </c>
      <c r="B281" s="5">
        <v>38392</v>
      </c>
      <c r="C281" s="4"/>
      <c r="D281" s="4"/>
      <c r="E281" s="4"/>
      <c r="F281" s="4"/>
      <c r="G281" s="4"/>
      <c r="H281" s="4"/>
      <c r="I281" s="4"/>
      <c r="J281" s="4" t="s">
        <v>484</v>
      </c>
      <c r="K281" s="4" t="s">
        <v>20</v>
      </c>
      <c r="L281" s="4" t="str">
        <f>"1"</f>
        <v>1</v>
      </c>
      <c r="M281" s="3" t="str">
        <f>IF(H281 = "","",MONTH(H281))</f>
        <v/>
      </c>
      <c r="N281" s="3" t="str">
        <f>IF(H281 = "","",YEAR(H281))</f>
        <v/>
      </c>
      <c r="O281" s="6" t="str">
        <f t="shared" si="23"/>
        <v>-</v>
      </c>
      <c r="P281" s="6" t="str">
        <f t="shared" si="24"/>
        <v>-</v>
      </c>
      <c r="Q281" s="6" t="str">
        <f t="shared" si="25"/>
        <v>-</v>
      </c>
      <c r="R281" s="6" t="str">
        <f t="shared" si="26"/>
        <v>-</v>
      </c>
      <c r="S281" s="6" t="str">
        <f t="shared" si="27"/>
        <v>-</v>
      </c>
    </row>
    <row r="282" spans="1:19" ht="14.1" customHeight="1" thickBot="1" x14ac:dyDescent="0.25">
      <c r="A282" s="4" t="str">
        <f>"0506"</f>
        <v>0506</v>
      </c>
      <c r="B282" s="5">
        <v>38384</v>
      </c>
      <c r="C282" s="4"/>
      <c r="D282" s="4"/>
      <c r="E282" s="4"/>
      <c r="F282" s="4"/>
      <c r="G282" s="4"/>
      <c r="H282" s="4"/>
      <c r="I282" s="4"/>
      <c r="J282" s="4" t="s">
        <v>485</v>
      </c>
      <c r="K282" s="4"/>
      <c r="L282" s="4" t="str">
        <f>"0"</f>
        <v>0</v>
      </c>
      <c r="M282" s="3" t="str">
        <f>IF(H282 = "","",MONTH(H282))</f>
        <v/>
      </c>
      <c r="N282" s="3" t="str">
        <f>IF(H282 = "","",YEAR(H282))</f>
        <v/>
      </c>
      <c r="O282" s="6" t="str">
        <f t="shared" si="23"/>
        <v>-</v>
      </c>
      <c r="P282" s="6" t="str">
        <f t="shared" si="24"/>
        <v>-</v>
      </c>
      <c r="Q282" s="6" t="str">
        <f t="shared" si="25"/>
        <v>-</v>
      </c>
      <c r="R282" s="6" t="str">
        <f t="shared" si="26"/>
        <v>-</v>
      </c>
      <c r="S282" s="6" t="str">
        <f t="shared" si="27"/>
        <v>-</v>
      </c>
    </row>
    <row r="283" spans="1:19" ht="14.1" customHeight="1" thickBot="1" x14ac:dyDescent="0.25">
      <c r="A283" s="4" t="str">
        <f>"0501"</f>
        <v>0501</v>
      </c>
      <c r="B283" s="5">
        <v>38383</v>
      </c>
      <c r="C283" s="4"/>
      <c r="D283" s="4"/>
      <c r="E283" s="4"/>
      <c r="F283" s="4"/>
      <c r="G283" s="4"/>
      <c r="H283" s="4"/>
      <c r="I283" s="4"/>
      <c r="J283" s="4" t="s">
        <v>418</v>
      </c>
      <c r="K283" s="4" t="s">
        <v>486</v>
      </c>
      <c r="L283" s="4" t="str">
        <f>"0"</f>
        <v>0</v>
      </c>
      <c r="M283" s="3" t="str">
        <f>IF(H283 = "","",MONTH(H283))</f>
        <v/>
      </c>
      <c r="N283" s="3" t="str">
        <f>IF(H283 = "","",YEAR(H283))</f>
        <v/>
      </c>
      <c r="O283" s="6" t="str">
        <f t="shared" si="23"/>
        <v>-</v>
      </c>
      <c r="P283" s="6" t="str">
        <f t="shared" si="24"/>
        <v>-</v>
      </c>
      <c r="Q283" s="6" t="str">
        <f t="shared" si="25"/>
        <v>-</v>
      </c>
      <c r="R283" s="6" t="str">
        <f t="shared" si="26"/>
        <v>-</v>
      </c>
      <c r="S283" s="6" t="str">
        <f t="shared" si="27"/>
        <v>-</v>
      </c>
    </row>
    <row r="284" spans="1:19" ht="14.1" customHeight="1" thickBot="1" x14ac:dyDescent="0.25">
      <c r="A284" s="4" t="str">
        <f>"0504"</f>
        <v>0504</v>
      </c>
      <c r="B284" s="5">
        <v>38365</v>
      </c>
      <c r="C284" s="4"/>
      <c r="D284" s="4" t="str">
        <f>"05001"</f>
        <v>05001</v>
      </c>
      <c r="E284" s="4"/>
      <c r="F284" s="4"/>
      <c r="G284" s="4"/>
      <c r="H284" s="4"/>
      <c r="I284" s="4" t="s">
        <v>487</v>
      </c>
      <c r="J284" s="4" t="s">
        <v>488</v>
      </c>
      <c r="K284" s="4"/>
      <c r="L284" s="4" t="s">
        <v>162</v>
      </c>
      <c r="M284" s="3" t="str">
        <f>IF(H284 = "","",MONTH(H284))</f>
        <v/>
      </c>
      <c r="N284" s="3" t="str">
        <f>IF(H284 = "","",YEAR(H284))</f>
        <v/>
      </c>
      <c r="O284" s="6" t="str">
        <f t="shared" si="23"/>
        <v>-</v>
      </c>
      <c r="P284" s="6" t="str">
        <f t="shared" si="24"/>
        <v>-</v>
      </c>
      <c r="Q284" s="6" t="str">
        <f t="shared" si="25"/>
        <v>-</v>
      </c>
      <c r="R284" s="6" t="str">
        <f t="shared" si="26"/>
        <v>-</v>
      </c>
      <c r="S284" s="6" t="str">
        <f t="shared" si="27"/>
        <v>-</v>
      </c>
    </row>
    <row r="285" spans="1:19" ht="14.1" customHeight="1" thickBot="1" x14ac:dyDescent="0.25">
      <c r="A285" s="4" t="str">
        <f>"0434"</f>
        <v>0434</v>
      </c>
      <c r="B285" s="5">
        <v>38336</v>
      </c>
      <c r="C285" s="4"/>
      <c r="D285" s="4"/>
      <c r="E285" s="4"/>
      <c r="F285" s="4"/>
      <c r="G285" s="4"/>
      <c r="H285" s="4"/>
      <c r="I285" s="4"/>
      <c r="J285" s="4" t="s">
        <v>489</v>
      </c>
      <c r="K285" s="4" t="s">
        <v>470</v>
      </c>
      <c r="L285" s="4" t="str">
        <f>"1"</f>
        <v>1</v>
      </c>
      <c r="M285" s="3" t="str">
        <f>IF(H285 = "","",MONTH(H285))</f>
        <v/>
      </c>
      <c r="N285" s="3" t="str">
        <f>IF(H285 = "","",YEAR(H285))</f>
        <v/>
      </c>
      <c r="O285" s="6" t="str">
        <f t="shared" si="23"/>
        <v>-</v>
      </c>
      <c r="P285" s="6" t="str">
        <f t="shared" si="24"/>
        <v>-</v>
      </c>
      <c r="Q285" s="6" t="str">
        <f t="shared" si="25"/>
        <v>-</v>
      </c>
      <c r="R285" s="6" t="str">
        <f t="shared" si="26"/>
        <v>-</v>
      </c>
      <c r="S285" s="6" t="str">
        <f t="shared" si="27"/>
        <v>-</v>
      </c>
    </row>
    <row r="286" spans="1:19" ht="14.1" customHeight="1" thickBot="1" x14ac:dyDescent="0.25">
      <c r="A286" s="4" t="str">
        <f>"0433"</f>
        <v>0433</v>
      </c>
      <c r="B286" s="5">
        <v>38336</v>
      </c>
      <c r="C286" s="4"/>
      <c r="D286" s="4"/>
      <c r="E286" s="4"/>
      <c r="F286" s="4"/>
      <c r="G286" s="4"/>
      <c r="H286" s="4"/>
      <c r="I286" s="4"/>
      <c r="J286" s="4" t="s">
        <v>490</v>
      </c>
      <c r="K286" s="4" t="s">
        <v>470</v>
      </c>
      <c r="L286" s="4" t="str">
        <f>"1"</f>
        <v>1</v>
      </c>
      <c r="M286" s="3" t="str">
        <f>IF(H286 = "","",MONTH(H286))</f>
        <v/>
      </c>
      <c r="N286" s="3" t="str">
        <f>IF(H286 = "","",YEAR(H286))</f>
        <v/>
      </c>
      <c r="O286" s="6" t="str">
        <f t="shared" si="23"/>
        <v>-</v>
      </c>
      <c r="P286" s="6" t="str">
        <f t="shared" si="24"/>
        <v>-</v>
      </c>
      <c r="Q286" s="6" t="str">
        <f t="shared" si="25"/>
        <v>-</v>
      </c>
      <c r="R286" s="6" t="str">
        <f t="shared" si="26"/>
        <v>-</v>
      </c>
      <c r="S286" s="6" t="str">
        <f t="shared" si="27"/>
        <v>-</v>
      </c>
    </row>
    <row r="287" spans="1:19" ht="14.1" customHeight="1" thickBot="1" x14ac:dyDescent="0.25">
      <c r="A287" s="4" t="str">
        <f>"0431"</f>
        <v>0431</v>
      </c>
      <c r="B287" s="5">
        <v>38321</v>
      </c>
      <c r="C287" s="4"/>
      <c r="D287" s="4"/>
      <c r="E287" s="4"/>
      <c r="F287" s="4"/>
      <c r="G287" s="4"/>
      <c r="H287" s="4"/>
      <c r="I287" s="4"/>
      <c r="J287" s="4" t="s">
        <v>439</v>
      </c>
      <c r="K287" s="4" t="s">
        <v>470</v>
      </c>
      <c r="L287" s="4" t="str">
        <f>"0"</f>
        <v>0</v>
      </c>
      <c r="M287" s="3" t="str">
        <f>IF(H287 = "","",MONTH(H287))</f>
        <v/>
      </c>
      <c r="N287" s="3" t="str">
        <f>IF(H287 = "","",YEAR(H287))</f>
        <v/>
      </c>
      <c r="O287" s="6" t="str">
        <f t="shared" si="23"/>
        <v>-</v>
      </c>
      <c r="P287" s="6" t="str">
        <f t="shared" si="24"/>
        <v>-</v>
      </c>
      <c r="Q287" s="6" t="str">
        <f t="shared" si="25"/>
        <v>-</v>
      </c>
      <c r="R287" s="6" t="str">
        <f t="shared" si="26"/>
        <v>-</v>
      </c>
      <c r="S287" s="6" t="str">
        <f t="shared" si="27"/>
        <v>-</v>
      </c>
    </row>
    <row r="288" spans="1:19" ht="14.1" customHeight="1" thickBot="1" x14ac:dyDescent="0.25">
      <c r="A288" s="4" t="str">
        <f>"0429"</f>
        <v>0429</v>
      </c>
      <c r="B288" s="5">
        <v>38307</v>
      </c>
      <c r="C288" s="4"/>
      <c r="D288" s="4" t="str">
        <f>"04017"</f>
        <v>04017</v>
      </c>
      <c r="E288" s="4"/>
      <c r="F288" s="4"/>
      <c r="G288" s="4"/>
      <c r="H288" s="4"/>
      <c r="I288" s="4" t="s">
        <v>491</v>
      </c>
      <c r="J288" s="4" t="s">
        <v>418</v>
      </c>
      <c r="K288" s="4"/>
      <c r="L288" s="4" t="s">
        <v>162</v>
      </c>
      <c r="M288" s="3" t="str">
        <f>IF(H288 = "","",MONTH(H288))</f>
        <v/>
      </c>
      <c r="N288" s="3" t="str">
        <f>IF(H288 = "","",YEAR(H288))</f>
        <v/>
      </c>
      <c r="O288" s="6" t="str">
        <f t="shared" si="23"/>
        <v>-</v>
      </c>
      <c r="P288" s="6" t="str">
        <f t="shared" si="24"/>
        <v>-</v>
      </c>
      <c r="Q288" s="6" t="str">
        <f t="shared" si="25"/>
        <v>-</v>
      </c>
      <c r="R288" s="6" t="str">
        <f t="shared" si="26"/>
        <v>-</v>
      </c>
      <c r="S288" s="6" t="str">
        <f t="shared" si="27"/>
        <v>-</v>
      </c>
    </row>
    <row r="289" spans="1:19" ht="14.1" customHeight="1" thickBot="1" x14ac:dyDescent="0.25">
      <c r="A289" s="4" t="str">
        <f>"0426"</f>
        <v>0426</v>
      </c>
      <c r="B289" s="5">
        <v>38263</v>
      </c>
      <c r="C289" s="4"/>
      <c r="D289" s="4" t="str">
        <f>"04015"</f>
        <v>04015</v>
      </c>
      <c r="E289" s="4"/>
      <c r="F289" s="4"/>
      <c r="G289" s="4"/>
      <c r="H289" s="4"/>
      <c r="I289" s="4" t="s">
        <v>492</v>
      </c>
      <c r="J289" s="4" t="s">
        <v>493</v>
      </c>
      <c r="K289" s="4" t="s">
        <v>39</v>
      </c>
      <c r="L289" s="4" t="s">
        <v>230</v>
      </c>
      <c r="M289" s="3" t="str">
        <f>IF(H289 = "","",MONTH(H289))</f>
        <v/>
      </c>
      <c r="N289" s="3" t="str">
        <f>IF(H289 = "","",YEAR(H289))</f>
        <v/>
      </c>
      <c r="O289" s="6" t="str">
        <f t="shared" si="23"/>
        <v>-</v>
      </c>
      <c r="P289" s="6" t="str">
        <f t="shared" si="24"/>
        <v>-</v>
      </c>
      <c r="Q289" s="6" t="str">
        <f t="shared" si="25"/>
        <v>-</v>
      </c>
      <c r="R289" s="6" t="str">
        <f t="shared" si="26"/>
        <v>-</v>
      </c>
      <c r="S289" s="6" t="str">
        <f t="shared" si="27"/>
        <v>-</v>
      </c>
    </row>
    <row r="290" spans="1:19" ht="14.1" customHeight="1" thickBot="1" x14ac:dyDescent="0.25">
      <c r="A290" s="4" t="str">
        <f>"0424"</f>
        <v>0424</v>
      </c>
      <c r="B290" s="5">
        <v>38238</v>
      </c>
      <c r="C290" s="4"/>
      <c r="D290" s="4"/>
      <c r="E290" s="4"/>
      <c r="F290" s="4"/>
      <c r="G290" s="4"/>
      <c r="H290" s="4"/>
      <c r="I290" s="4"/>
      <c r="J290" s="4" t="s">
        <v>494</v>
      </c>
      <c r="K290" s="4" t="s">
        <v>470</v>
      </c>
      <c r="L290" s="4" t="str">
        <f>"0"</f>
        <v>0</v>
      </c>
      <c r="M290" s="3" t="str">
        <f>IF(H290 = "","",MONTH(H290))</f>
        <v/>
      </c>
      <c r="N290" s="3" t="str">
        <f>IF(H290 = "","",YEAR(H290))</f>
        <v/>
      </c>
      <c r="O290" s="6" t="str">
        <f t="shared" si="23"/>
        <v>-</v>
      </c>
      <c r="P290" s="6" t="str">
        <f t="shared" si="24"/>
        <v>-</v>
      </c>
      <c r="Q290" s="6" t="str">
        <f t="shared" si="25"/>
        <v>-</v>
      </c>
      <c r="R290" s="6" t="str">
        <f t="shared" si="26"/>
        <v>-</v>
      </c>
      <c r="S290" s="6" t="str">
        <f t="shared" si="27"/>
        <v>-</v>
      </c>
    </row>
    <row r="291" spans="1:19" ht="14.1" customHeight="1" thickBot="1" x14ac:dyDescent="0.25">
      <c r="A291" s="4" t="str">
        <f>"0428"</f>
        <v>0428</v>
      </c>
      <c r="B291" s="5">
        <v>38234</v>
      </c>
      <c r="C291" s="4"/>
      <c r="D291" s="4"/>
      <c r="E291" s="4"/>
      <c r="F291" s="4"/>
      <c r="G291" s="4"/>
      <c r="H291" s="4"/>
      <c r="I291" s="4"/>
      <c r="J291" s="4" t="s">
        <v>495</v>
      </c>
      <c r="K291" s="4" t="s">
        <v>496</v>
      </c>
      <c r="L291" s="4" t="str">
        <f>"0"</f>
        <v>0</v>
      </c>
      <c r="M291" s="3" t="str">
        <f>IF(H291 = "","",MONTH(H291))</f>
        <v/>
      </c>
      <c r="N291" s="3" t="str">
        <f>IF(H291 = "","",YEAR(H291))</f>
        <v/>
      </c>
      <c r="O291" s="6" t="str">
        <f t="shared" si="23"/>
        <v>-</v>
      </c>
      <c r="P291" s="6" t="str">
        <f t="shared" si="24"/>
        <v>-</v>
      </c>
      <c r="Q291" s="6" t="str">
        <f t="shared" si="25"/>
        <v>-</v>
      </c>
      <c r="R291" s="6" t="str">
        <f t="shared" si="26"/>
        <v>-</v>
      </c>
      <c r="S291" s="6" t="str">
        <f t="shared" si="27"/>
        <v>-</v>
      </c>
    </row>
    <row r="292" spans="1:19" ht="14.1" customHeight="1" thickBot="1" x14ac:dyDescent="0.25">
      <c r="A292" s="4" t="str">
        <f>"0425"</f>
        <v>0425</v>
      </c>
      <c r="B292" s="5">
        <v>38169</v>
      </c>
      <c r="C292" s="4"/>
      <c r="D292" s="4" t="str">
        <f>"04014"</f>
        <v>04014</v>
      </c>
      <c r="E292" s="4"/>
      <c r="F292" s="4"/>
      <c r="G292" s="4"/>
      <c r="H292" s="4"/>
      <c r="I292" s="4" t="s">
        <v>497</v>
      </c>
      <c r="J292" s="4" t="s">
        <v>498</v>
      </c>
      <c r="K292" s="4" t="s">
        <v>73</v>
      </c>
      <c r="L292" s="4" t="s">
        <v>21</v>
      </c>
      <c r="M292" s="3" t="str">
        <f>IF(H292 = "","",MONTH(H292))</f>
        <v/>
      </c>
      <c r="N292" s="3" t="str">
        <f>IF(H292 = "","",YEAR(H292))</f>
        <v/>
      </c>
      <c r="O292" s="6" t="str">
        <f t="shared" si="23"/>
        <v>-</v>
      </c>
      <c r="P292" s="6" t="str">
        <f t="shared" si="24"/>
        <v>-</v>
      </c>
      <c r="Q292" s="6" t="str">
        <f t="shared" si="25"/>
        <v>-</v>
      </c>
      <c r="R292" s="6" t="str">
        <f t="shared" si="26"/>
        <v>-</v>
      </c>
      <c r="S292" s="6" t="str">
        <f t="shared" si="27"/>
        <v>-</v>
      </c>
    </row>
    <row r="293" spans="1:19" ht="14.1" customHeight="1" thickBot="1" x14ac:dyDescent="0.25">
      <c r="A293" s="4" t="str">
        <f>"0423"</f>
        <v>0423</v>
      </c>
      <c r="B293" s="5">
        <v>38169</v>
      </c>
      <c r="C293" s="4"/>
      <c r="D293" s="4"/>
      <c r="E293" s="4"/>
      <c r="F293" s="4"/>
      <c r="G293" s="4"/>
      <c r="H293" s="4"/>
      <c r="I293" s="4"/>
      <c r="J293" s="4"/>
      <c r="K293" s="4"/>
      <c r="L293" s="4" t="str">
        <f>"0"</f>
        <v>0</v>
      </c>
      <c r="M293" s="3" t="str">
        <f>IF(H293 = "","",MONTH(H293))</f>
        <v/>
      </c>
      <c r="N293" s="3" t="str">
        <f>IF(H293 = "","",YEAR(H293))</f>
        <v/>
      </c>
      <c r="O293" s="6" t="str">
        <f t="shared" si="23"/>
        <v>-</v>
      </c>
      <c r="P293" s="6" t="str">
        <f t="shared" si="24"/>
        <v>-</v>
      </c>
      <c r="Q293" s="6" t="str">
        <f t="shared" si="25"/>
        <v>-</v>
      </c>
      <c r="R293" s="6" t="str">
        <f t="shared" si="26"/>
        <v>-</v>
      </c>
      <c r="S293" s="6" t="str">
        <f t="shared" si="27"/>
        <v>-</v>
      </c>
    </row>
    <row r="294" spans="1:19" ht="14.1" customHeight="1" thickBot="1" x14ac:dyDescent="0.25">
      <c r="A294" s="4" t="str">
        <f>"0416"</f>
        <v>0416</v>
      </c>
      <c r="B294" s="5">
        <v>38143</v>
      </c>
      <c r="C294" s="4"/>
      <c r="D294" s="4" t="str">
        <f>"04010"</f>
        <v>04010</v>
      </c>
      <c r="E294" s="4"/>
      <c r="F294" s="4"/>
      <c r="G294" s="4"/>
      <c r="H294" s="4"/>
      <c r="I294" s="4" t="s">
        <v>499</v>
      </c>
      <c r="J294" s="4" t="s">
        <v>468</v>
      </c>
      <c r="K294" s="4" t="s">
        <v>90</v>
      </c>
      <c r="L294" s="4" t="s">
        <v>21</v>
      </c>
      <c r="M294" s="3" t="str">
        <f>IF(H294 = "","",MONTH(H294))</f>
        <v/>
      </c>
      <c r="N294" s="3" t="str">
        <f>IF(H294 = "","",YEAR(H294))</f>
        <v/>
      </c>
      <c r="O294" s="6" t="str">
        <f t="shared" si="23"/>
        <v>-</v>
      </c>
      <c r="P294" s="6" t="str">
        <f t="shared" si="24"/>
        <v>-</v>
      </c>
      <c r="Q294" s="6" t="str">
        <f t="shared" si="25"/>
        <v>-</v>
      </c>
      <c r="R294" s="6" t="str">
        <f t="shared" si="26"/>
        <v>-</v>
      </c>
      <c r="S294" s="6" t="str">
        <f t="shared" si="27"/>
        <v>-</v>
      </c>
    </row>
    <row r="295" spans="1:19" ht="14.1" customHeight="1" thickBot="1" x14ac:dyDescent="0.25">
      <c r="A295" s="4" t="str">
        <f>"0413"</f>
        <v>0413</v>
      </c>
      <c r="B295" s="5">
        <v>38134</v>
      </c>
      <c r="C295" s="4"/>
      <c r="D295" s="4" t="str">
        <f>"04008"</f>
        <v>04008</v>
      </c>
      <c r="E295" s="4"/>
      <c r="F295" s="4"/>
      <c r="G295" s="4"/>
      <c r="H295" s="4"/>
      <c r="I295" s="4" t="s">
        <v>500</v>
      </c>
      <c r="J295" s="4" t="s">
        <v>439</v>
      </c>
      <c r="K295" s="4" t="s">
        <v>90</v>
      </c>
      <c r="L295" s="4" t="s">
        <v>50</v>
      </c>
      <c r="M295" s="3" t="str">
        <f>IF(H295 = "","",MONTH(H295))</f>
        <v/>
      </c>
      <c r="N295" s="3" t="str">
        <f>IF(H295 = "","",YEAR(H295))</f>
        <v/>
      </c>
      <c r="O295" s="6" t="str">
        <f t="shared" si="23"/>
        <v>-</v>
      </c>
      <c r="P295" s="6" t="str">
        <f t="shared" si="24"/>
        <v>-</v>
      </c>
      <c r="Q295" s="6" t="str">
        <f t="shared" si="25"/>
        <v>-</v>
      </c>
      <c r="R295" s="6" t="str">
        <f t="shared" si="26"/>
        <v>-</v>
      </c>
      <c r="S295" s="6" t="str">
        <f t="shared" si="27"/>
        <v>-</v>
      </c>
    </row>
    <row r="296" spans="1:19" ht="14.1" customHeight="1" thickBot="1" x14ac:dyDescent="0.25">
      <c r="A296" s="4" t="str">
        <f>"0417"</f>
        <v>0417</v>
      </c>
      <c r="B296" s="5">
        <v>38108</v>
      </c>
      <c r="C296" s="4"/>
      <c r="D296" s="4"/>
      <c r="E296" s="4"/>
      <c r="F296" s="4"/>
      <c r="G296" s="4"/>
      <c r="H296" s="4"/>
      <c r="I296" s="4"/>
      <c r="J296" s="4" t="s">
        <v>501</v>
      </c>
      <c r="K296" s="4" t="s">
        <v>502</v>
      </c>
      <c r="L296" s="4" t="str">
        <f t="shared" ref="L296:L302" si="28">"0"</f>
        <v>0</v>
      </c>
      <c r="M296" s="3" t="str">
        <f>IF(H296 = "","",MONTH(H296))</f>
        <v/>
      </c>
      <c r="N296" s="3" t="str">
        <f>IF(H296 = "","",YEAR(H296))</f>
        <v/>
      </c>
      <c r="O296" s="6" t="str">
        <f t="shared" si="23"/>
        <v>-</v>
      </c>
      <c r="P296" s="6" t="str">
        <f t="shared" si="24"/>
        <v>-</v>
      </c>
      <c r="Q296" s="6" t="str">
        <f t="shared" si="25"/>
        <v>-</v>
      </c>
      <c r="R296" s="6" t="str">
        <f t="shared" si="26"/>
        <v>-</v>
      </c>
      <c r="S296" s="6" t="str">
        <f t="shared" si="27"/>
        <v>-</v>
      </c>
    </row>
    <row r="297" spans="1:19" ht="14.1" customHeight="1" thickBot="1" x14ac:dyDescent="0.25">
      <c r="A297" s="4" t="str">
        <f>"0414"</f>
        <v>0414</v>
      </c>
      <c r="B297" s="5">
        <v>38108</v>
      </c>
      <c r="C297" s="4"/>
      <c r="D297" s="4"/>
      <c r="E297" s="4"/>
      <c r="F297" s="4"/>
      <c r="G297" s="4"/>
      <c r="H297" s="4"/>
      <c r="I297" s="4"/>
      <c r="J297" s="4" t="s">
        <v>503</v>
      </c>
      <c r="K297" s="4" t="s">
        <v>470</v>
      </c>
      <c r="L297" s="4" t="str">
        <f t="shared" si="28"/>
        <v>0</v>
      </c>
      <c r="M297" s="3" t="str">
        <f>IF(H297 = "","",MONTH(H297))</f>
        <v/>
      </c>
      <c r="N297" s="3" t="str">
        <f>IF(H297 = "","",YEAR(H297))</f>
        <v/>
      </c>
      <c r="O297" s="6" t="str">
        <f t="shared" si="23"/>
        <v>-</v>
      </c>
      <c r="P297" s="6" t="str">
        <f t="shared" si="24"/>
        <v>-</v>
      </c>
      <c r="Q297" s="6" t="str">
        <f t="shared" si="25"/>
        <v>-</v>
      </c>
      <c r="R297" s="6" t="str">
        <f t="shared" si="26"/>
        <v>-</v>
      </c>
      <c r="S297" s="6" t="str">
        <f t="shared" si="27"/>
        <v>-</v>
      </c>
    </row>
    <row r="298" spans="1:19" ht="14.1" customHeight="1" thickBot="1" x14ac:dyDescent="0.25">
      <c r="A298" s="4" t="str">
        <f>"0415"</f>
        <v>0415</v>
      </c>
      <c r="B298" s="5">
        <v>38108</v>
      </c>
      <c r="C298" s="4"/>
      <c r="D298" s="4"/>
      <c r="E298" s="4"/>
      <c r="F298" s="4"/>
      <c r="G298" s="4"/>
      <c r="H298" s="4"/>
      <c r="I298" s="4"/>
      <c r="J298" s="4" t="s">
        <v>439</v>
      </c>
      <c r="K298" s="4" t="s">
        <v>502</v>
      </c>
      <c r="L298" s="4" t="str">
        <f t="shared" si="28"/>
        <v>0</v>
      </c>
      <c r="M298" s="3" t="str">
        <f>IF(H298 = "","",MONTH(H298))</f>
        <v/>
      </c>
      <c r="N298" s="3" t="str">
        <f>IF(H298 = "","",YEAR(H298))</f>
        <v/>
      </c>
      <c r="O298" s="6" t="str">
        <f t="shared" si="23"/>
        <v>-</v>
      </c>
      <c r="P298" s="6" t="str">
        <f t="shared" si="24"/>
        <v>-</v>
      </c>
      <c r="Q298" s="6" t="str">
        <f t="shared" si="25"/>
        <v>-</v>
      </c>
      <c r="R298" s="6" t="str">
        <f t="shared" si="26"/>
        <v>-</v>
      </c>
      <c r="S298" s="6" t="str">
        <f t="shared" si="27"/>
        <v>-</v>
      </c>
    </row>
    <row r="299" spans="1:19" ht="14.1" customHeight="1" thickBot="1" x14ac:dyDescent="0.25">
      <c r="A299" s="4" t="str">
        <f>"0410"</f>
        <v>0410</v>
      </c>
      <c r="B299" s="5">
        <v>38097</v>
      </c>
      <c r="C299" s="4"/>
      <c r="D299" s="4"/>
      <c r="E299" s="4"/>
      <c r="F299" s="4"/>
      <c r="G299" s="4"/>
      <c r="H299" s="4"/>
      <c r="I299" s="4"/>
      <c r="J299" s="4" t="s">
        <v>504</v>
      </c>
      <c r="K299" s="4"/>
      <c r="L299" s="4" t="str">
        <f t="shared" si="28"/>
        <v>0</v>
      </c>
      <c r="M299" s="3" t="str">
        <f>IF(H299 = "","",MONTH(H299))</f>
        <v/>
      </c>
      <c r="N299" s="3" t="str">
        <f>IF(H299 = "","",YEAR(H299))</f>
        <v/>
      </c>
      <c r="O299" s="6" t="str">
        <f t="shared" si="23"/>
        <v>-</v>
      </c>
      <c r="P299" s="6" t="str">
        <f t="shared" si="24"/>
        <v>-</v>
      </c>
      <c r="Q299" s="6" t="str">
        <f t="shared" si="25"/>
        <v>-</v>
      </c>
      <c r="R299" s="6" t="str">
        <f t="shared" si="26"/>
        <v>-</v>
      </c>
      <c r="S299" s="6" t="str">
        <f t="shared" si="27"/>
        <v>-</v>
      </c>
    </row>
    <row r="300" spans="1:19" ht="14.1" customHeight="1" thickBot="1" x14ac:dyDescent="0.25">
      <c r="A300" s="4" t="str">
        <f>"0406"</f>
        <v>0406</v>
      </c>
      <c r="B300" s="5">
        <v>38092</v>
      </c>
      <c r="C300" s="4"/>
      <c r="D300" s="4"/>
      <c r="E300" s="4"/>
      <c r="F300" s="4"/>
      <c r="G300" s="4"/>
      <c r="H300" s="4"/>
      <c r="I300" s="4"/>
      <c r="J300" s="4" t="s">
        <v>495</v>
      </c>
      <c r="K300" s="4"/>
      <c r="L300" s="4" t="str">
        <f t="shared" si="28"/>
        <v>0</v>
      </c>
      <c r="M300" s="3" t="str">
        <f>IF(H300 = "","",MONTH(H300))</f>
        <v/>
      </c>
      <c r="N300" s="3" t="str">
        <f>IF(H300 = "","",YEAR(H300))</f>
        <v/>
      </c>
      <c r="O300" s="6" t="str">
        <f t="shared" si="23"/>
        <v>-</v>
      </c>
      <c r="P300" s="6" t="str">
        <f t="shared" si="24"/>
        <v>-</v>
      </c>
      <c r="Q300" s="6" t="str">
        <f t="shared" si="25"/>
        <v>-</v>
      </c>
      <c r="R300" s="6" t="str">
        <f t="shared" si="26"/>
        <v>-</v>
      </c>
      <c r="S300" s="6" t="str">
        <f t="shared" si="27"/>
        <v>-</v>
      </c>
    </row>
    <row r="301" spans="1:19" ht="14.1" customHeight="1" thickBot="1" x14ac:dyDescent="0.25">
      <c r="A301" s="4" t="str">
        <f>"0408"</f>
        <v>0408</v>
      </c>
      <c r="B301" s="5">
        <v>38091</v>
      </c>
      <c r="C301" s="4"/>
      <c r="D301" s="4"/>
      <c r="E301" s="4"/>
      <c r="F301" s="4"/>
      <c r="G301" s="4"/>
      <c r="H301" s="4"/>
      <c r="I301" s="4"/>
      <c r="J301" s="4" t="s">
        <v>439</v>
      </c>
      <c r="K301" s="4" t="s">
        <v>505</v>
      </c>
      <c r="L301" s="4" t="str">
        <f t="shared" si="28"/>
        <v>0</v>
      </c>
      <c r="M301" s="3" t="str">
        <f>IF(H301 = "","",MONTH(H301))</f>
        <v/>
      </c>
      <c r="N301" s="3" t="str">
        <f>IF(H301 = "","",YEAR(H301))</f>
        <v/>
      </c>
      <c r="O301" s="6" t="str">
        <f t="shared" si="23"/>
        <v>-</v>
      </c>
      <c r="P301" s="6" t="str">
        <f t="shared" si="24"/>
        <v>-</v>
      </c>
      <c r="Q301" s="6" t="str">
        <f t="shared" si="25"/>
        <v>-</v>
      </c>
      <c r="R301" s="6" t="str">
        <f t="shared" si="26"/>
        <v>-</v>
      </c>
      <c r="S301" s="6" t="str">
        <f t="shared" si="27"/>
        <v>-</v>
      </c>
    </row>
    <row r="302" spans="1:19" ht="14.1" customHeight="1" thickBot="1" x14ac:dyDescent="0.25">
      <c r="A302" s="4" t="str">
        <f>"0407"</f>
        <v>0407</v>
      </c>
      <c r="B302" s="5">
        <v>38085</v>
      </c>
      <c r="C302" s="4"/>
      <c r="D302" s="4"/>
      <c r="E302" s="4"/>
      <c r="F302" s="4"/>
      <c r="G302" s="4"/>
      <c r="H302" s="4"/>
      <c r="I302" s="4"/>
      <c r="J302" s="4" t="s">
        <v>506</v>
      </c>
      <c r="K302" s="4" t="s">
        <v>20</v>
      </c>
      <c r="L302" s="4" t="str">
        <f t="shared" si="28"/>
        <v>0</v>
      </c>
      <c r="M302" s="3" t="str">
        <f>IF(H302 = "","",MONTH(H302))</f>
        <v/>
      </c>
      <c r="N302" s="3" t="str">
        <f>IF(H302 = "","",YEAR(H302))</f>
        <v/>
      </c>
      <c r="O302" s="6" t="str">
        <f t="shared" si="23"/>
        <v>-</v>
      </c>
      <c r="P302" s="6" t="str">
        <f t="shared" si="24"/>
        <v>-</v>
      </c>
      <c r="Q302" s="6" t="str">
        <f t="shared" si="25"/>
        <v>-</v>
      </c>
      <c r="R302" s="6" t="str">
        <f t="shared" si="26"/>
        <v>-</v>
      </c>
      <c r="S302" s="6" t="str">
        <f t="shared" si="27"/>
        <v>-</v>
      </c>
    </row>
    <row r="303" spans="1:19" ht="14.1" customHeight="1" thickBot="1" x14ac:dyDescent="0.25">
      <c r="A303" s="4" t="str">
        <f>"0409"</f>
        <v>0409</v>
      </c>
      <c r="B303" s="5">
        <v>38084</v>
      </c>
      <c r="C303" s="4"/>
      <c r="D303" s="4" t="str">
        <f>"04016"</f>
        <v>04016</v>
      </c>
      <c r="E303" s="4"/>
      <c r="F303" s="4"/>
      <c r="G303" s="4"/>
      <c r="H303" s="4"/>
      <c r="I303" s="4" t="s">
        <v>507</v>
      </c>
      <c r="J303" s="4" t="s">
        <v>418</v>
      </c>
      <c r="K303" s="4"/>
      <c r="L303" s="4" t="s">
        <v>162</v>
      </c>
      <c r="M303" s="3" t="str">
        <f>IF(H303 = "","",MONTH(H303))</f>
        <v/>
      </c>
      <c r="N303" s="3" t="str">
        <f>IF(H303 = "","",YEAR(H303))</f>
        <v/>
      </c>
      <c r="O303" s="6" t="str">
        <f t="shared" si="23"/>
        <v>-</v>
      </c>
      <c r="P303" s="6" t="str">
        <f t="shared" si="24"/>
        <v>-</v>
      </c>
      <c r="Q303" s="6" t="str">
        <f t="shared" si="25"/>
        <v>-</v>
      </c>
      <c r="R303" s="6" t="str">
        <f t="shared" si="26"/>
        <v>-</v>
      </c>
      <c r="S303" s="6" t="str">
        <f t="shared" si="27"/>
        <v>-</v>
      </c>
    </row>
    <row r="304" spans="1:19" ht="14.1" customHeight="1" thickBot="1" x14ac:dyDescent="0.25">
      <c r="A304" s="4" t="str">
        <f>"0405"</f>
        <v>0405</v>
      </c>
      <c r="B304" s="5">
        <v>38056</v>
      </c>
      <c r="C304" s="4"/>
      <c r="D304" s="4"/>
      <c r="E304" s="4"/>
      <c r="F304" s="4"/>
      <c r="G304" s="4"/>
      <c r="H304" s="4"/>
      <c r="I304" s="4"/>
      <c r="J304" s="4" t="s">
        <v>508</v>
      </c>
      <c r="K304" s="4" t="s">
        <v>470</v>
      </c>
      <c r="L304" s="4" t="str">
        <f>"0"</f>
        <v>0</v>
      </c>
      <c r="M304" s="3" t="str">
        <f>IF(H304 = "","",MONTH(H304))</f>
        <v/>
      </c>
      <c r="N304" s="3" t="str">
        <f>IF(H304 = "","",YEAR(H304))</f>
        <v/>
      </c>
      <c r="O304" s="6" t="str">
        <f t="shared" si="23"/>
        <v>-</v>
      </c>
      <c r="P304" s="6" t="str">
        <f t="shared" si="24"/>
        <v>-</v>
      </c>
      <c r="Q304" s="6" t="str">
        <f t="shared" si="25"/>
        <v>-</v>
      </c>
      <c r="R304" s="6" t="str">
        <f t="shared" si="26"/>
        <v>-</v>
      </c>
      <c r="S304" s="6" t="str">
        <f t="shared" si="27"/>
        <v>-</v>
      </c>
    </row>
    <row r="305" spans="1:19" ht="14.1" customHeight="1" thickBot="1" x14ac:dyDescent="0.25">
      <c r="A305" s="4" t="str">
        <f>"0404"</f>
        <v>0404</v>
      </c>
      <c r="B305" s="5">
        <v>38030</v>
      </c>
      <c r="C305" s="4"/>
      <c r="D305" s="4" t="str">
        <f>"04004"</f>
        <v>04004</v>
      </c>
      <c r="E305" s="4"/>
      <c r="F305" s="4"/>
      <c r="G305" s="4"/>
      <c r="H305" s="4"/>
      <c r="I305" s="4" t="s">
        <v>509</v>
      </c>
      <c r="J305" s="4" t="s">
        <v>510</v>
      </c>
      <c r="K305" s="4" t="s">
        <v>511</v>
      </c>
      <c r="L305" s="4" t="s">
        <v>162</v>
      </c>
      <c r="M305" s="3" t="str">
        <f>IF(H305 = "","",MONTH(H305))</f>
        <v/>
      </c>
      <c r="N305" s="3" t="str">
        <f>IF(H305 = "","",YEAR(H305))</f>
        <v/>
      </c>
      <c r="O305" s="6" t="str">
        <f t="shared" si="23"/>
        <v>-</v>
      </c>
      <c r="P305" s="6" t="str">
        <f t="shared" si="24"/>
        <v>-</v>
      </c>
      <c r="Q305" s="6" t="str">
        <f t="shared" si="25"/>
        <v>-</v>
      </c>
      <c r="R305" s="6" t="str">
        <f t="shared" si="26"/>
        <v>-</v>
      </c>
      <c r="S305" s="6" t="str">
        <f t="shared" si="27"/>
        <v>-</v>
      </c>
    </row>
    <row r="306" spans="1:19" ht="14.1" customHeight="1" thickBot="1" x14ac:dyDescent="0.25">
      <c r="A306" s="4" t="str">
        <f>"0403"</f>
        <v>0403</v>
      </c>
      <c r="B306" s="5">
        <v>38013</v>
      </c>
      <c r="C306" s="4"/>
      <c r="D306" s="4" t="str">
        <f>"04002"</f>
        <v>04002</v>
      </c>
      <c r="E306" s="4"/>
      <c r="F306" s="4"/>
      <c r="G306" s="4"/>
      <c r="H306" s="4"/>
      <c r="I306" s="4" t="s">
        <v>512</v>
      </c>
      <c r="J306" s="4" t="s">
        <v>513</v>
      </c>
      <c r="K306" s="4" t="s">
        <v>90</v>
      </c>
      <c r="L306" s="4" t="s">
        <v>162</v>
      </c>
      <c r="M306" s="3" t="str">
        <f>IF(H306 = "","",MONTH(H306))</f>
        <v/>
      </c>
      <c r="N306" s="3" t="str">
        <f>IF(H306 = "","",YEAR(H306))</f>
        <v/>
      </c>
      <c r="O306" s="6" t="str">
        <f t="shared" si="23"/>
        <v>-</v>
      </c>
      <c r="P306" s="6" t="str">
        <f t="shared" si="24"/>
        <v>-</v>
      </c>
      <c r="Q306" s="6" t="str">
        <f t="shared" si="25"/>
        <v>-</v>
      </c>
      <c r="R306" s="6" t="str">
        <f t="shared" si="26"/>
        <v>-</v>
      </c>
      <c r="S306" s="6" t="str">
        <f t="shared" si="27"/>
        <v>-</v>
      </c>
    </row>
    <row r="307" spans="1:19" ht="14.1" customHeight="1" thickBot="1" x14ac:dyDescent="0.25">
      <c r="A307" s="4" t="str">
        <f>"0401"</f>
        <v>0401</v>
      </c>
      <c r="B307" s="5">
        <v>37983</v>
      </c>
      <c r="C307" s="4"/>
      <c r="D307" s="4"/>
      <c r="E307" s="4"/>
      <c r="F307" s="4"/>
      <c r="G307" s="4"/>
      <c r="H307" s="4"/>
      <c r="I307" s="4"/>
      <c r="J307" s="4" t="s">
        <v>418</v>
      </c>
      <c r="K307" s="4" t="s">
        <v>514</v>
      </c>
      <c r="L307" s="4" t="str">
        <f>"0"</f>
        <v>0</v>
      </c>
      <c r="M307" s="3" t="str">
        <f>IF(H307 = "","",MONTH(H307))</f>
        <v/>
      </c>
      <c r="N307" s="3" t="str">
        <f>IF(H307 = "","",YEAR(H307))</f>
        <v/>
      </c>
      <c r="O307" s="6" t="str">
        <f t="shared" si="23"/>
        <v>-</v>
      </c>
      <c r="P307" s="6" t="str">
        <f t="shared" si="24"/>
        <v>-</v>
      </c>
      <c r="Q307" s="6" t="str">
        <f t="shared" si="25"/>
        <v>-</v>
      </c>
      <c r="R307" s="6" t="str">
        <f t="shared" si="26"/>
        <v>-</v>
      </c>
      <c r="S307" s="6" t="str">
        <f t="shared" si="27"/>
        <v>-</v>
      </c>
    </row>
    <row r="308" spans="1:19" ht="14.1" customHeight="1" thickBot="1" x14ac:dyDescent="0.25">
      <c r="A308" s="4" t="str">
        <f>"0402"</f>
        <v>0402</v>
      </c>
      <c r="B308" s="5">
        <v>37956</v>
      </c>
      <c r="C308" s="4"/>
      <c r="D308" s="4" t="str">
        <f>"04003"</f>
        <v>04003</v>
      </c>
      <c r="E308" s="4"/>
      <c r="F308" s="4"/>
      <c r="G308" s="4"/>
      <c r="H308" s="4"/>
      <c r="I308" s="4" t="s">
        <v>515</v>
      </c>
      <c r="J308" s="4" t="s">
        <v>516</v>
      </c>
      <c r="K308" s="4" t="s">
        <v>90</v>
      </c>
      <c r="L308" s="4" t="s">
        <v>21</v>
      </c>
      <c r="M308" s="3" t="str">
        <f>IF(H308 = "","",MONTH(H308))</f>
        <v/>
      </c>
      <c r="N308" s="3" t="str">
        <f>IF(H308 = "","",YEAR(H308))</f>
        <v/>
      </c>
      <c r="O308" s="6" t="str">
        <f t="shared" si="23"/>
        <v>-</v>
      </c>
      <c r="P308" s="6" t="str">
        <f t="shared" si="24"/>
        <v>-</v>
      </c>
      <c r="Q308" s="6" t="str">
        <f t="shared" si="25"/>
        <v>-</v>
      </c>
      <c r="R308" s="6" t="str">
        <f t="shared" si="26"/>
        <v>-</v>
      </c>
      <c r="S308" s="6" t="str">
        <f t="shared" si="27"/>
        <v>-</v>
      </c>
    </row>
    <row r="309" spans="1:19" ht="14.1" customHeight="1" thickBot="1" x14ac:dyDescent="0.25">
      <c r="A309" s="4" t="str">
        <f>"0332"</f>
        <v>0332</v>
      </c>
      <c r="B309" s="5">
        <v>37940</v>
      </c>
      <c r="C309" s="4"/>
      <c r="D309" s="4"/>
      <c r="E309" s="4"/>
      <c r="F309" s="4"/>
      <c r="G309" s="4"/>
      <c r="H309" s="4"/>
      <c r="I309" s="4"/>
      <c r="J309" s="4" t="s">
        <v>517</v>
      </c>
      <c r="K309" s="4" t="s">
        <v>470</v>
      </c>
      <c r="L309" s="4" t="str">
        <f>"0"</f>
        <v>0</v>
      </c>
      <c r="M309" s="3" t="str">
        <f>IF(H309 = "","",MONTH(H309))</f>
        <v/>
      </c>
      <c r="N309" s="3" t="str">
        <f>IF(H309 = "","",YEAR(H309))</f>
        <v/>
      </c>
      <c r="O309" s="6" t="str">
        <f t="shared" si="23"/>
        <v>-</v>
      </c>
      <c r="P309" s="6" t="str">
        <f t="shared" si="24"/>
        <v>-</v>
      </c>
      <c r="Q309" s="6" t="str">
        <f t="shared" si="25"/>
        <v>-</v>
      </c>
      <c r="R309" s="6" t="str">
        <f t="shared" si="26"/>
        <v>-</v>
      </c>
      <c r="S309" s="6" t="str">
        <f t="shared" si="27"/>
        <v>-</v>
      </c>
    </row>
    <row r="310" spans="1:19" ht="14.1" customHeight="1" thickBot="1" x14ac:dyDescent="0.25">
      <c r="A310" s="4" t="str">
        <f>"0386"</f>
        <v>0386</v>
      </c>
      <c r="B310" s="5">
        <v>37926</v>
      </c>
      <c r="C310" s="4"/>
      <c r="D310" s="4" t="str">
        <f>"03016"</f>
        <v>03016</v>
      </c>
      <c r="E310" s="4"/>
      <c r="F310" s="4"/>
      <c r="G310" s="4"/>
      <c r="H310" s="4"/>
      <c r="I310" s="4" t="s">
        <v>518</v>
      </c>
      <c r="J310" s="4" t="s">
        <v>439</v>
      </c>
      <c r="K310" s="4" t="s">
        <v>449</v>
      </c>
      <c r="L310" s="4" t="s">
        <v>21</v>
      </c>
      <c r="M310" s="3" t="str">
        <f>IF(H310 = "","",MONTH(H310))</f>
        <v/>
      </c>
      <c r="N310" s="3" t="str">
        <f>IF(H310 = "","",YEAR(H310))</f>
        <v/>
      </c>
      <c r="O310" s="6" t="str">
        <f t="shared" si="23"/>
        <v>-</v>
      </c>
      <c r="P310" s="6" t="str">
        <f t="shared" si="24"/>
        <v>-</v>
      </c>
      <c r="Q310" s="6" t="str">
        <f t="shared" si="25"/>
        <v>-</v>
      </c>
      <c r="R310" s="6" t="str">
        <f t="shared" si="26"/>
        <v>-</v>
      </c>
      <c r="S310" s="6" t="str">
        <f t="shared" si="27"/>
        <v>-</v>
      </c>
    </row>
    <row r="311" spans="1:19" ht="14.1" customHeight="1" thickBot="1" x14ac:dyDescent="0.25">
      <c r="A311" s="4" t="str">
        <f>"0328"</f>
        <v>0328</v>
      </c>
      <c r="B311" s="5">
        <v>37914</v>
      </c>
      <c r="C311" s="4"/>
      <c r="D311" s="4"/>
      <c r="E311" s="4"/>
      <c r="F311" s="4"/>
      <c r="G311" s="4"/>
      <c r="H311" s="4"/>
      <c r="I311" s="4"/>
      <c r="J311" s="4" t="s">
        <v>519</v>
      </c>
      <c r="K311" s="4" t="s">
        <v>470</v>
      </c>
      <c r="L311" s="4" t="str">
        <f>"0"</f>
        <v>0</v>
      </c>
      <c r="M311" s="3" t="str">
        <f>IF(H311 = "","",MONTH(H311))</f>
        <v/>
      </c>
      <c r="N311" s="3" t="str">
        <f>IF(H311 = "","",YEAR(H311))</f>
        <v/>
      </c>
      <c r="O311" s="6" t="str">
        <f t="shared" si="23"/>
        <v>-</v>
      </c>
      <c r="P311" s="6" t="str">
        <f t="shared" si="24"/>
        <v>-</v>
      </c>
      <c r="Q311" s="6" t="str">
        <f t="shared" si="25"/>
        <v>-</v>
      </c>
      <c r="R311" s="6" t="str">
        <f t="shared" si="26"/>
        <v>-</v>
      </c>
      <c r="S311" s="6" t="str">
        <f t="shared" si="27"/>
        <v>-</v>
      </c>
    </row>
    <row r="312" spans="1:19" ht="14.1" customHeight="1" thickBot="1" x14ac:dyDescent="0.25">
      <c r="A312" s="4" t="str">
        <f>"0327"</f>
        <v>0327</v>
      </c>
      <c r="B312" s="5">
        <v>37894</v>
      </c>
      <c r="C312" s="4"/>
      <c r="D312" s="4"/>
      <c r="E312" s="4"/>
      <c r="F312" s="4"/>
      <c r="G312" s="4"/>
      <c r="H312" s="4"/>
      <c r="I312" s="4"/>
      <c r="J312" s="4"/>
      <c r="K312" s="4" t="s">
        <v>470</v>
      </c>
      <c r="L312" s="4" t="str">
        <f>"0"</f>
        <v>0</v>
      </c>
      <c r="M312" s="3" t="str">
        <f>IF(H312 = "","",MONTH(H312))</f>
        <v/>
      </c>
      <c r="N312" s="3" t="str">
        <f>IF(H312 = "","",YEAR(H312))</f>
        <v/>
      </c>
      <c r="O312" s="6" t="str">
        <f t="shared" si="23"/>
        <v>-</v>
      </c>
      <c r="P312" s="6" t="str">
        <f t="shared" si="24"/>
        <v>-</v>
      </c>
      <c r="Q312" s="6" t="str">
        <f t="shared" si="25"/>
        <v>-</v>
      </c>
      <c r="R312" s="6" t="str">
        <f t="shared" si="26"/>
        <v>-</v>
      </c>
      <c r="S312" s="6" t="str">
        <f t="shared" si="27"/>
        <v>-</v>
      </c>
    </row>
    <row r="313" spans="1:19" ht="14.1" customHeight="1" thickBot="1" x14ac:dyDescent="0.25">
      <c r="A313" s="4" t="str">
        <f>"0325"</f>
        <v>0325</v>
      </c>
      <c r="B313" s="5">
        <v>37887</v>
      </c>
      <c r="C313" s="4"/>
      <c r="D313" s="4"/>
      <c r="E313" s="4"/>
      <c r="F313" s="4"/>
      <c r="G313" s="4"/>
      <c r="H313" s="4"/>
      <c r="I313" s="4"/>
      <c r="J313" s="4" t="s">
        <v>418</v>
      </c>
      <c r="K313" s="4" t="s">
        <v>470</v>
      </c>
      <c r="L313" s="4" t="str">
        <f>"0"</f>
        <v>0</v>
      </c>
      <c r="M313" s="3" t="str">
        <f>IF(H313 = "","",MONTH(H313))</f>
        <v/>
      </c>
      <c r="N313" s="3" t="str">
        <f>IF(H313 = "","",YEAR(H313))</f>
        <v/>
      </c>
      <c r="O313" s="6" t="str">
        <f t="shared" si="23"/>
        <v>-</v>
      </c>
      <c r="P313" s="6" t="str">
        <f t="shared" si="24"/>
        <v>-</v>
      </c>
      <c r="Q313" s="6" t="str">
        <f t="shared" si="25"/>
        <v>-</v>
      </c>
      <c r="R313" s="6" t="str">
        <f t="shared" si="26"/>
        <v>-</v>
      </c>
      <c r="S313" s="6" t="str">
        <f t="shared" si="27"/>
        <v>-</v>
      </c>
    </row>
    <row r="314" spans="1:19" ht="14.1" customHeight="1" thickBot="1" x14ac:dyDescent="0.25">
      <c r="A314" s="4" t="str">
        <f>"0324"</f>
        <v>0324</v>
      </c>
      <c r="B314" s="5">
        <v>37882</v>
      </c>
      <c r="C314" s="4"/>
      <c r="D314" s="4" t="str">
        <f>"03014"</f>
        <v>03014</v>
      </c>
      <c r="E314" s="4"/>
      <c r="F314" s="4"/>
      <c r="G314" s="4"/>
      <c r="H314" s="4"/>
      <c r="I314" s="4" t="s">
        <v>520</v>
      </c>
      <c r="J314" s="4" t="s">
        <v>439</v>
      </c>
      <c r="K314" s="4" t="s">
        <v>90</v>
      </c>
      <c r="L314" s="4" t="s">
        <v>21</v>
      </c>
      <c r="M314" s="3" t="str">
        <f>IF(H314 = "","",MONTH(H314))</f>
        <v/>
      </c>
      <c r="N314" s="3" t="str">
        <f>IF(H314 = "","",YEAR(H314))</f>
        <v/>
      </c>
      <c r="O314" s="6" t="str">
        <f t="shared" si="23"/>
        <v>-</v>
      </c>
      <c r="P314" s="6" t="str">
        <f t="shared" si="24"/>
        <v>-</v>
      </c>
      <c r="Q314" s="6" t="str">
        <f t="shared" si="25"/>
        <v>-</v>
      </c>
      <c r="R314" s="6" t="str">
        <f t="shared" si="26"/>
        <v>-</v>
      </c>
      <c r="S314" s="6" t="str">
        <f t="shared" si="27"/>
        <v>-</v>
      </c>
    </row>
    <row r="315" spans="1:19" ht="14.1" customHeight="1" thickBot="1" x14ac:dyDescent="0.25">
      <c r="A315" s="4" t="str">
        <f>"0323"</f>
        <v>0323</v>
      </c>
      <c r="B315" s="5">
        <v>37876</v>
      </c>
      <c r="C315" s="4"/>
      <c r="D315" s="4"/>
      <c r="E315" s="4"/>
      <c r="F315" s="4"/>
      <c r="G315" s="4"/>
      <c r="H315" s="4"/>
      <c r="I315" s="4"/>
      <c r="J315" s="4" t="s">
        <v>418</v>
      </c>
      <c r="K315" s="4" t="s">
        <v>521</v>
      </c>
      <c r="L315" s="4" t="str">
        <f>"0"</f>
        <v>0</v>
      </c>
      <c r="M315" s="3" t="str">
        <f>IF(H315 = "","",MONTH(H315))</f>
        <v/>
      </c>
      <c r="N315" s="3" t="str">
        <f>IF(H315 = "","",YEAR(H315))</f>
        <v/>
      </c>
      <c r="O315" s="6" t="str">
        <f t="shared" si="23"/>
        <v>-</v>
      </c>
      <c r="P315" s="6" t="str">
        <f t="shared" si="24"/>
        <v>-</v>
      </c>
      <c r="Q315" s="6" t="str">
        <f t="shared" si="25"/>
        <v>-</v>
      </c>
      <c r="R315" s="6" t="str">
        <f t="shared" si="26"/>
        <v>-</v>
      </c>
      <c r="S315" s="6" t="str">
        <f t="shared" si="27"/>
        <v>-</v>
      </c>
    </row>
    <row r="316" spans="1:19" ht="14.1" customHeight="1" thickBot="1" x14ac:dyDescent="0.25">
      <c r="A316" s="4" t="str">
        <f>"0326"</f>
        <v>0326</v>
      </c>
      <c r="B316" s="5">
        <v>37876</v>
      </c>
      <c r="C316" s="4"/>
      <c r="D316" s="4"/>
      <c r="E316" s="4"/>
      <c r="F316" s="4"/>
      <c r="G316" s="4"/>
      <c r="H316" s="4"/>
      <c r="I316" s="4"/>
      <c r="J316" s="4" t="s">
        <v>439</v>
      </c>
      <c r="K316" s="4" t="s">
        <v>470</v>
      </c>
      <c r="L316" s="4" t="str">
        <f>"0"</f>
        <v>0</v>
      </c>
      <c r="M316" s="3" t="str">
        <f>IF(H316 = "","",MONTH(H316))</f>
        <v/>
      </c>
      <c r="N316" s="3" t="str">
        <f>IF(H316 = "","",YEAR(H316))</f>
        <v/>
      </c>
      <c r="O316" s="6" t="str">
        <f t="shared" si="23"/>
        <v>-</v>
      </c>
      <c r="P316" s="6" t="str">
        <f t="shared" si="24"/>
        <v>-</v>
      </c>
      <c r="Q316" s="6" t="str">
        <f t="shared" si="25"/>
        <v>-</v>
      </c>
      <c r="R316" s="6" t="str">
        <f t="shared" si="26"/>
        <v>-</v>
      </c>
      <c r="S316" s="6" t="str">
        <f t="shared" si="27"/>
        <v>-</v>
      </c>
    </row>
    <row r="317" spans="1:19" ht="14.1" customHeight="1" thickBot="1" x14ac:dyDescent="0.25">
      <c r="A317" s="4" t="str">
        <f>"0321"</f>
        <v>0321</v>
      </c>
      <c r="B317" s="5">
        <v>37866</v>
      </c>
      <c r="C317" s="4"/>
      <c r="D317" s="4"/>
      <c r="E317" s="4"/>
      <c r="F317" s="4"/>
      <c r="G317" s="4"/>
      <c r="H317" s="4"/>
      <c r="I317" s="4"/>
      <c r="J317" s="4" t="s">
        <v>418</v>
      </c>
      <c r="K317" s="4" t="s">
        <v>470</v>
      </c>
      <c r="L317" s="4" t="str">
        <f>"0"</f>
        <v>0</v>
      </c>
      <c r="M317" s="3" t="str">
        <f>IF(H317 = "","",MONTH(H317))</f>
        <v/>
      </c>
      <c r="N317" s="3" t="str">
        <f>IF(H317 = "","",YEAR(H317))</f>
        <v/>
      </c>
      <c r="O317" s="6" t="str">
        <f t="shared" si="23"/>
        <v>-</v>
      </c>
      <c r="P317" s="6" t="str">
        <f t="shared" si="24"/>
        <v>-</v>
      </c>
      <c r="Q317" s="6" t="str">
        <f t="shared" si="25"/>
        <v>-</v>
      </c>
      <c r="R317" s="6" t="str">
        <f t="shared" si="26"/>
        <v>-</v>
      </c>
      <c r="S317" s="6" t="str">
        <f t="shared" si="27"/>
        <v>-</v>
      </c>
    </row>
    <row r="318" spans="1:19" ht="14.1" customHeight="1" thickBot="1" x14ac:dyDescent="0.25">
      <c r="A318" s="4" t="str">
        <f>"0322"</f>
        <v>0322</v>
      </c>
      <c r="B318" s="5">
        <v>37865</v>
      </c>
      <c r="C318" s="4"/>
      <c r="D318" s="4" t="str">
        <f>"03013"</f>
        <v>03013</v>
      </c>
      <c r="E318" s="4"/>
      <c r="F318" s="4"/>
      <c r="G318" s="4"/>
      <c r="H318" s="4"/>
      <c r="I318" s="4" t="s">
        <v>522</v>
      </c>
      <c r="J318" s="4" t="s">
        <v>439</v>
      </c>
      <c r="K318" s="4" t="s">
        <v>523</v>
      </c>
      <c r="L318" s="4" t="s">
        <v>21</v>
      </c>
      <c r="M318" s="3" t="str">
        <f>IF(H318 = "","",MONTH(H318))</f>
        <v/>
      </c>
      <c r="N318" s="3" t="str">
        <f>IF(H318 = "","",YEAR(H318))</f>
        <v/>
      </c>
      <c r="O318" s="6" t="str">
        <f t="shared" si="23"/>
        <v>-</v>
      </c>
      <c r="P318" s="6" t="str">
        <f t="shared" si="24"/>
        <v>-</v>
      </c>
      <c r="Q318" s="6" t="str">
        <f t="shared" si="25"/>
        <v>-</v>
      </c>
      <c r="R318" s="6" t="str">
        <f t="shared" si="26"/>
        <v>-</v>
      </c>
      <c r="S318" s="6" t="str">
        <f t="shared" si="27"/>
        <v>-</v>
      </c>
    </row>
    <row r="319" spans="1:19" ht="14.1" customHeight="1" thickBot="1" x14ac:dyDescent="0.25">
      <c r="A319" s="4" t="str">
        <f>"0319"</f>
        <v>0319</v>
      </c>
      <c r="B319" s="5">
        <v>37789</v>
      </c>
      <c r="C319" s="4"/>
      <c r="D319" s="4"/>
      <c r="E319" s="4"/>
      <c r="F319" s="4"/>
      <c r="G319" s="4"/>
      <c r="H319" s="4"/>
      <c r="I319" s="4"/>
      <c r="J319" s="4" t="s">
        <v>524</v>
      </c>
      <c r="K319" s="4" t="s">
        <v>525</v>
      </c>
      <c r="L319" s="4" t="str">
        <f>"0"</f>
        <v>0</v>
      </c>
      <c r="M319" s="3" t="str">
        <f>IF(H319 = "","",MONTH(H319))</f>
        <v/>
      </c>
      <c r="N319" s="3" t="str">
        <f>IF(H319 = "","",YEAR(H319))</f>
        <v/>
      </c>
      <c r="O319" s="6" t="str">
        <f t="shared" si="23"/>
        <v>-</v>
      </c>
      <c r="P319" s="6" t="str">
        <f t="shared" si="24"/>
        <v>-</v>
      </c>
      <c r="Q319" s="6" t="str">
        <f t="shared" si="25"/>
        <v>-</v>
      </c>
      <c r="R319" s="6" t="str">
        <f t="shared" si="26"/>
        <v>-</v>
      </c>
      <c r="S319" s="6" t="str">
        <f t="shared" si="27"/>
        <v>-</v>
      </c>
    </row>
    <row r="320" spans="1:19" ht="14.1" customHeight="1" thickBot="1" x14ac:dyDescent="0.25">
      <c r="A320" s="4" t="str">
        <f>"0318"</f>
        <v>0318</v>
      </c>
      <c r="B320" s="5">
        <v>37773</v>
      </c>
      <c r="C320" s="4"/>
      <c r="D320" s="4" t="str">
        <f>"03009"</f>
        <v>03009</v>
      </c>
      <c r="E320" s="4"/>
      <c r="F320" s="4"/>
      <c r="G320" s="4"/>
      <c r="H320" s="4"/>
      <c r="I320" s="4" t="s">
        <v>526</v>
      </c>
      <c r="J320" s="4" t="s">
        <v>527</v>
      </c>
      <c r="K320" s="4" t="s">
        <v>90</v>
      </c>
      <c r="L320" s="4" t="s">
        <v>21</v>
      </c>
      <c r="M320" s="3" t="str">
        <f>IF(H320 = "","",MONTH(H320))</f>
        <v/>
      </c>
      <c r="N320" s="3" t="str">
        <f>IF(H320 = "","",YEAR(H320))</f>
        <v/>
      </c>
      <c r="O320" s="6" t="str">
        <f t="shared" si="23"/>
        <v>-</v>
      </c>
      <c r="P320" s="6" t="str">
        <f t="shared" si="24"/>
        <v>-</v>
      </c>
      <c r="Q320" s="6" t="str">
        <f t="shared" si="25"/>
        <v>-</v>
      </c>
      <c r="R320" s="6" t="str">
        <f t="shared" si="26"/>
        <v>-</v>
      </c>
      <c r="S320" s="6" t="str">
        <f t="shared" si="27"/>
        <v>-</v>
      </c>
    </row>
    <row r="321" spans="1:19" ht="14.1" customHeight="1" thickBot="1" x14ac:dyDescent="0.25">
      <c r="A321" s="4" t="str">
        <f>"0315"</f>
        <v>0315</v>
      </c>
      <c r="B321" s="5">
        <v>37754</v>
      </c>
      <c r="C321" s="4"/>
      <c r="D321" s="4" t="str">
        <f>"03007"</f>
        <v>03007</v>
      </c>
      <c r="E321" s="4"/>
      <c r="F321" s="4"/>
      <c r="G321" s="4"/>
      <c r="H321" s="4"/>
      <c r="I321" s="4" t="s">
        <v>528</v>
      </c>
      <c r="J321" s="4" t="s">
        <v>529</v>
      </c>
      <c r="K321" s="4" t="s">
        <v>90</v>
      </c>
      <c r="L321" s="4" t="s">
        <v>21</v>
      </c>
      <c r="M321" s="3" t="str">
        <f>IF(H321 = "","",MONTH(H321))</f>
        <v/>
      </c>
      <c r="N321" s="3" t="str">
        <f>IF(H321 = "","",YEAR(H321))</f>
        <v/>
      </c>
      <c r="O321" s="6" t="str">
        <f t="shared" si="23"/>
        <v>-</v>
      </c>
      <c r="P321" s="6" t="str">
        <f t="shared" si="24"/>
        <v>-</v>
      </c>
      <c r="Q321" s="6" t="str">
        <f t="shared" si="25"/>
        <v>-</v>
      </c>
      <c r="R321" s="6" t="str">
        <f t="shared" si="26"/>
        <v>-</v>
      </c>
      <c r="S321" s="6" t="str">
        <f t="shared" si="27"/>
        <v>-</v>
      </c>
    </row>
    <row r="322" spans="1:19" ht="14.1" customHeight="1" thickBot="1" x14ac:dyDescent="0.25">
      <c r="A322" s="4" t="str">
        <f>"0316"</f>
        <v>0316</v>
      </c>
      <c r="B322" s="5">
        <v>37753</v>
      </c>
      <c r="C322" s="4"/>
      <c r="D322" s="4" t="str">
        <f>"03008"</f>
        <v>03008</v>
      </c>
      <c r="E322" s="4"/>
      <c r="F322" s="4"/>
      <c r="G322" s="4"/>
      <c r="H322" s="4"/>
      <c r="I322" s="4" t="s">
        <v>530</v>
      </c>
      <c r="J322" s="4" t="s">
        <v>531</v>
      </c>
      <c r="K322" s="4" t="s">
        <v>90</v>
      </c>
      <c r="L322" s="4" t="s">
        <v>21</v>
      </c>
      <c r="M322" s="3" t="str">
        <f>IF(H322 = "","",MONTH(H322))</f>
        <v/>
      </c>
      <c r="N322" s="3" t="str">
        <f>IF(H322 = "","",YEAR(H322))</f>
        <v/>
      </c>
      <c r="O322" s="6" t="str">
        <f t="shared" si="23"/>
        <v>-</v>
      </c>
      <c r="P322" s="6" t="str">
        <f t="shared" si="24"/>
        <v>-</v>
      </c>
      <c r="Q322" s="6" t="str">
        <f t="shared" si="25"/>
        <v>-</v>
      </c>
      <c r="R322" s="6" t="str">
        <f t="shared" si="26"/>
        <v>-</v>
      </c>
      <c r="S322" s="6" t="str">
        <f t="shared" si="27"/>
        <v>-</v>
      </c>
    </row>
    <row r="323" spans="1:19" ht="14.1" customHeight="1" thickBot="1" x14ac:dyDescent="0.25">
      <c r="A323" s="4" t="str">
        <f>"0314"</f>
        <v>0314</v>
      </c>
      <c r="B323" s="5">
        <v>37752</v>
      </c>
      <c r="C323" s="4"/>
      <c r="D323" s="4"/>
      <c r="E323" s="4"/>
      <c r="F323" s="4"/>
      <c r="G323" s="4"/>
      <c r="H323" s="4"/>
      <c r="I323" s="4"/>
      <c r="J323" s="4"/>
      <c r="K323" s="4" t="s">
        <v>532</v>
      </c>
      <c r="L323" s="4" t="str">
        <f>"0"</f>
        <v>0</v>
      </c>
      <c r="M323" s="3" t="str">
        <f>IF(H323 = "","",MONTH(H323))</f>
        <v/>
      </c>
      <c r="N323" s="3" t="str">
        <f>IF(H323 = "","",YEAR(H323))</f>
        <v/>
      </c>
      <c r="O323" s="6" t="str">
        <f t="shared" si="23"/>
        <v>-</v>
      </c>
      <c r="P323" s="6" t="str">
        <f t="shared" si="24"/>
        <v>-</v>
      </c>
      <c r="Q323" s="6" t="str">
        <f t="shared" si="25"/>
        <v>-</v>
      </c>
      <c r="R323" s="6" t="str">
        <f t="shared" si="26"/>
        <v>-</v>
      </c>
      <c r="S323" s="6" t="str">
        <f t="shared" si="27"/>
        <v>-</v>
      </c>
    </row>
    <row r="324" spans="1:19" ht="14.1" customHeight="1" thickBot="1" x14ac:dyDescent="0.25">
      <c r="A324" s="4" t="str">
        <f>"0313"</f>
        <v>0313</v>
      </c>
      <c r="B324" s="5">
        <v>37746</v>
      </c>
      <c r="C324" s="4"/>
      <c r="D324" s="4"/>
      <c r="E324" s="4"/>
      <c r="F324" s="4"/>
      <c r="G324" s="4"/>
      <c r="H324" s="4"/>
      <c r="I324" s="4"/>
      <c r="J324" s="4"/>
      <c r="K324" s="4"/>
      <c r="L324" s="4" t="str">
        <f>"0"</f>
        <v>0</v>
      </c>
      <c r="M324" s="3" t="str">
        <f>IF(H324 = "","",MONTH(H324))</f>
        <v/>
      </c>
      <c r="N324" s="3" t="str">
        <f>IF(H324 = "","",YEAR(H324))</f>
        <v/>
      </c>
      <c r="O324" s="6" t="str">
        <f t="shared" si="23"/>
        <v>-</v>
      </c>
      <c r="P324" s="6" t="str">
        <f t="shared" si="24"/>
        <v>-</v>
      </c>
      <c r="Q324" s="6" t="str">
        <f t="shared" si="25"/>
        <v>-</v>
      </c>
      <c r="R324" s="6" t="str">
        <f t="shared" si="26"/>
        <v>-</v>
      </c>
      <c r="S324" s="6" t="str">
        <f t="shared" si="27"/>
        <v>-</v>
      </c>
    </row>
    <row r="325" spans="1:19" ht="14.1" customHeight="1" thickBot="1" x14ac:dyDescent="0.25">
      <c r="A325" s="4" t="str">
        <f>"0317"</f>
        <v>0317</v>
      </c>
      <c r="B325" s="5">
        <v>37746</v>
      </c>
      <c r="C325" s="4"/>
      <c r="D325" s="4"/>
      <c r="E325" s="4"/>
      <c r="F325" s="4"/>
      <c r="G325" s="4"/>
      <c r="H325" s="4"/>
      <c r="I325" s="4"/>
      <c r="J325" s="4"/>
      <c r="K325" s="4" t="s">
        <v>470</v>
      </c>
      <c r="L325" s="4" t="str">
        <f>"0"</f>
        <v>0</v>
      </c>
      <c r="M325" s="3" t="str">
        <f>IF(H325 = "","",MONTH(H325))</f>
        <v/>
      </c>
      <c r="N325" s="3" t="str">
        <f>IF(H325 = "","",YEAR(H325))</f>
        <v/>
      </c>
      <c r="O325" s="6" t="str">
        <f t="shared" si="23"/>
        <v>-</v>
      </c>
      <c r="P325" s="6" t="str">
        <f t="shared" si="24"/>
        <v>-</v>
      </c>
      <c r="Q325" s="6" t="str">
        <f t="shared" si="25"/>
        <v>-</v>
      </c>
      <c r="R325" s="6" t="str">
        <f t="shared" si="26"/>
        <v>-</v>
      </c>
      <c r="S325" s="6" t="str">
        <f t="shared" si="27"/>
        <v>-</v>
      </c>
    </row>
    <row r="326" spans="1:19" ht="14.1" customHeight="1" thickBot="1" x14ac:dyDescent="0.25">
      <c r="A326" s="4" t="str">
        <f>"0320"</f>
        <v>0320</v>
      </c>
      <c r="B326" s="5">
        <v>37742</v>
      </c>
      <c r="C326" s="4"/>
      <c r="D326" s="4" t="str">
        <f>"03010"</f>
        <v>03010</v>
      </c>
      <c r="E326" s="4"/>
      <c r="F326" s="4"/>
      <c r="G326" s="4"/>
      <c r="H326" s="4"/>
      <c r="I326" s="4" t="s">
        <v>533</v>
      </c>
      <c r="J326" s="4" t="s">
        <v>534</v>
      </c>
      <c r="K326" s="4" t="s">
        <v>90</v>
      </c>
      <c r="L326" s="4" t="s">
        <v>21</v>
      </c>
      <c r="M326" s="3" t="str">
        <f>IF(H326 = "","",MONTH(H326))</f>
        <v/>
      </c>
      <c r="N326" s="3" t="str">
        <f>IF(H326 = "","",YEAR(H326))</f>
        <v/>
      </c>
      <c r="O326" s="6" t="str">
        <f t="shared" si="23"/>
        <v>-</v>
      </c>
      <c r="P326" s="6" t="str">
        <f t="shared" si="24"/>
        <v>-</v>
      </c>
      <c r="Q326" s="6" t="str">
        <f t="shared" si="25"/>
        <v>-</v>
      </c>
      <c r="R326" s="6" t="str">
        <f t="shared" si="26"/>
        <v>-</v>
      </c>
      <c r="S326" s="6" t="str">
        <f t="shared" si="27"/>
        <v>-</v>
      </c>
    </row>
    <row r="327" spans="1:19" ht="14.1" customHeight="1" thickBot="1" x14ac:dyDescent="0.25">
      <c r="A327" s="4" t="str">
        <f>"0312"</f>
        <v>0312</v>
      </c>
      <c r="B327" s="5">
        <v>37719</v>
      </c>
      <c r="C327" s="4"/>
      <c r="D327" s="4"/>
      <c r="E327" s="4"/>
      <c r="F327" s="4"/>
      <c r="G327" s="4"/>
      <c r="H327" s="4"/>
      <c r="I327" s="4"/>
      <c r="J327" s="4"/>
      <c r="K327" s="4" t="s">
        <v>535</v>
      </c>
      <c r="L327" s="4" t="str">
        <f>"0"</f>
        <v>0</v>
      </c>
      <c r="M327" s="3" t="str">
        <f>IF(H327 = "","",MONTH(H327))</f>
        <v/>
      </c>
      <c r="N327" s="3" t="str">
        <f>IF(H327 = "","",YEAR(H327))</f>
        <v/>
      </c>
      <c r="O327" s="6" t="str">
        <f t="shared" ref="O327:O390" si="29">IF(B327="","-",IF(E327="","-",DAYS360(B327,E327)))</f>
        <v>-</v>
      </c>
      <c r="P327" s="6" t="str">
        <f t="shared" ref="P327:P390" si="30">IF(C327="","-",IF(E327="","-",DAYS360(C327,E327)))</f>
        <v>-</v>
      </c>
      <c r="Q327" s="6" t="str">
        <f t="shared" ref="Q327:Q390" si="31">IF(E327="","-",IF(F327="","-",DAYS360(E327,F327)))</f>
        <v>-</v>
      </c>
      <c r="R327" s="6" t="str">
        <f t="shared" ref="R327:R390" si="32">IF(E327="","-",IF(G327="","-",DAYS360(E327,G327)))</f>
        <v>-</v>
      </c>
      <c r="S327" s="6" t="str">
        <f t="shared" ref="S327:S390" si="33">IF(E327="","-",IF(H327="","-",DAYS360(E327,H327)))</f>
        <v>-</v>
      </c>
    </row>
    <row r="328" spans="1:19" ht="14.1" customHeight="1" thickBot="1" x14ac:dyDescent="0.25">
      <c r="A328" s="4" t="str">
        <f>"0311"</f>
        <v>0311</v>
      </c>
      <c r="B328" s="5">
        <v>37705</v>
      </c>
      <c r="C328" s="4"/>
      <c r="D328" s="4"/>
      <c r="E328" s="4"/>
      <c r="F328" s="4"/>
      <c r="G328" s="4"/>
      <c r="H328" s="4"/>
      <c r="I328" s="4"/>
      <c r="J328" s="4"/>
      <c r="K328" s="4" t="s">
        <v>536</v>
      </c>
      <c r="L328" s="4" t="str">
        <f>"0"</f>
        <v>0</v>
      </c>
      <c r="M328" s="3" t="str">
        <f>IF(H328 = "","",MONTH(H328))</f>
        <v/>
      </c>
      <c r="N328" s="3" t="str">
        <f>IF(H328 = "","",YEAR(H328))</f>
        <v/>
      </c>
      <c r="O328" s="6" t="str">
        <f t="shared" si="29"/>
        <v>-</v>
      </c>
      <c r="P328" s="6" t="str">
        <f t="shared" si="30"/>
        <v>-</v>
      </c>
      <c r="Q328" s="6" t="str">
        <f t="shared" si="31"/>
        <v>-</v>
      </c>
      <c r="R328" s="6" t="str">
        <f t="shared" si="32"/>
        <v>-</v>
      </c>
      <c r="S328" s="6" t="str">
        <f t="shared" si="33"/>
        <v>-</v>
      </c>
    </row>
    <row r="329" spans="1:19" ht="14.1" customHeight="1" thickBot="1" x14ac:dyDescent="0.25">
      <c r="A329" s="4" t="str">
        <f>"0308"</f>
        <v>0308</v>
      </c>
      <c r="B329" s="5">
        <v>37670</v>
      </c>
      <c r="C329" s="4"/>
      <c r="D329" s="4"/>
      <c r="E329" s="4"/>
      <c r="F329" s="4"/>
      <c r="G329" s="4"/>
      <c r="H329" s="4"/>
      <c r="I329" s="4"/>
      <c r="J329" s="4"/>
      <c r="K329" s="4" t="s">
        <v>537</v>
      </c>
      <c r="L329" s="4" t="str">
        <f>"0"</f>
        <v>0</v>
      </c>
      <c r="M329" s="3" t="str">
        <f>IF(H329 = "","",MONTH(H329))</f>
        <v/>
      </c>
      <c r="N329" s="3" t="str">
        <f>IF(H329 = "","",YEAR(H329))</f>
        <v/>
      </c>
      <c r="O329" s="6" t="str">
        <f t="shared" si="29"/>
        <v>-</v>
      </c>
      <c r="P329" s="6" t="str">
        <f t="shared" si="30"/>
        <v>-</v>
      </c>
      <c r="Q329" s="6" t="str">
        <f t="shared" si="31"/>
        <v>-</v>
      </c>
      <c r="R329" s="6" t="str">
        <f t="shared" si="32"/>
        <v>-</v>
      </c>
      <c r="S329" s="6" t="str">
        <f t="shared" si="33"/>
        <v>-</v>
      </c>
    </row>
    <row r="330" spans="1:19" ht="14.1" customHeight="1" thickBot="1" x14ac:dyDescent="0.25">
      <c r="A330" s="4" t="str">
        <f>"0306"</f>
        <v>0306</v>
      </c>
      <c r="B330" s="5">
        <v>37666</v>
      </c>
      <c r="C330" s="4"/>
      <c r="D330" s="4" t="str">
        <f>"03004"</f>
        <v>03004</v>
      </c>
      <c r="E330" s="4"/>
      <c r="F330" s="4"/>
      <c r="G330" s="4"/>
      <c r="H330" s="4"/>
      <c r="I330" s="4" t="s">
        <v>538</v>
      </c>
      <c r="J330" s="4" t="s">
        <v>539</v>
      </c>
      <c r="K330" s="4" t="s">
        <v>90</v>
      </c>
      <c r="L330" s="4" t="s">
        <v>21</v>
      </c>
      <c r="M330" s="3" t="str">
        <f>IF(H330 = "","",MONTH(H330))</f>
        <v/>
      </c>
      <c r="N330" s="3" t="str">
        <f>IF(H330 = "","",YEAR(H330))</f>
        <v/>
      </c>
      <c r="O330" s="6" t="str">
        <f t="shared" si="29"/>
        <v>-</v>
      </c>
      <c r="P330" s="6" t="str">
        <f t="shared" si="30"/>
        <v>-</v>
      </c>
      <c r="Q330" s="6" t="str">
        <f t="shared" si="31"/>
        <v>-</v>
      </c>
      <c r="R330" s="6" t="str">
        <f t="shared" si="32"/>
        <v>-</v>
      </c>
      <c r="S330" s="6" t="str">
        <f t="shared" si="33"/>
        <v>-</v>
      </c>
    </row>
    <row r="331" spans="1:19" ht="14.1" customHeight="1" thickBot="1" x14ac:dyDescent="0.25">
      <c r="A331" s="4" t="str">
        <f>"0303"</f>
        <v>0303</v>
      </c>
      <c r="B331" s="5">
        <v>37646</v>
      </c>
      <c r="C331" s="4"/>
      <c r="D331" s="4"/>
      <c r="E331" s="4"/>
      <c r="F331" s="4"/>
      <c r="G331" s="4"/>
      <c r="H331" s="4"/>
      <c r="I331" s="4"/>
      <c r="J331" s="4" t="s">
        <v>540</v>
      </c>
      <c r="K331" s="4" t="s">
        <v>537</v>
      </c>
      <c r="L331" s="4" t="str">
        <f>"0"</f>
        <v>0</v>
      </c>
      <c r="M331" s="3" t="str">
        <f>IF(H331 = "","",MONTH(H331))</f>
        <v/>
      </c>
      <c r="N331" s="3" t="str">
        <f>IF(H331 = "","",YEAR(H331))</f>
        <v/>
      </c>
      <c r="O331" s="6" t="str">
        <f t="shared" si="29"/>
        <v>-</v>
      </c>
      <c r="P331" s="6" t="str">
        <f t="shared" si="30"/>
        <v>-</v>
      </c>
      <c r="Q331" s="6" t="str">
        <f t="shared" si="31"/>
        <v>-</v>
      </c>
      <c r="R331" s="6" t="str">
        <f t="shared" si="32"/>
        <v>-</v>
      </c>
      <c r="S331" s="6" t="str">
        <f t="shared" si="33"/>
        <v>-</v>
      </c>
    </row>
    <row r="332" spans="1:19" ht="14.1" customHeight="1" thickBot="1" x14ac:dyDescent="0.25">
      <c r="A332" s="4" t="str">
        <f>"0236"</f>
        <v>0236</v>
      </c>
      <c r="B332" s="5">
        <v>37527</v>
      </c>
      <c r="C332" s="4"/>
      <c r="D332" s="4" t="str">
        <f>"02019"</f>
        <v>02019</v>
      </c>
      <c r="E332" s="4"/>
      <c r="F332" s="4"/>
      <c r="G332" s="4"/>
      <c r="H332" s="4"/>
      <c r="I332" s="4" t="s">
        <v>541</v>
      </c>
      <c r="J332" s="4" t="s">
        <v>542</v>
      </c>
      <c r="K332" s="4" t="s">
        <v>340</v>
      </c>
      <c r="L332" s="4" t="s">
        <v>21</v>
      </c>
      <c r="M332" s="3" t="str">
        <f>IF(H332 = "","",MONTH(H332))</f>
        <v/>
      </c>
      <c r="N332" s="3" t="str">
        <f>IF(H332 = "","",YEAR(H332))</f>
        <v/>
      </c>
      <c r="O332" s="6" t="str">
        <f t="shared" si="29"/>
        <v>-</v>
      </c>
      <c r="P332" s="6" t="str">
        <f t="shared" si="30"/>
        <v>-</v>
      </c>
      <c r="Q332" s="6" t="str">
        <f t="shared" si="31"/>
        <v>-</v>
      </c>
      <c r="R332" s="6" t="str">
        <f t="shared" si="32"/>
        <v>-</v>
      </c>
      <c r="S332" s="6" t="str">
        <f t="shared" si="33"/>
        <v>-</v>
      </c>
    </row>
    <row r="333" spans="1:19" ht="14.1" customHeight="1" thickBot="1" x14ac:dyDescent="0.25">
      <c r="A333" s="4" t="str">
        <f>"0217"</f>
        <v>0217</v>
      </c>
      <c r="B333" s="5">
        <v>37439</v>
      </c>
      <c r="C333" s="4"/>
      <c r="D333" s="4" t="str">
        <f>"02017"</f>
        <v>02017</v>
      </c>
      <c r="E333" s="4"/>
      <c r="F333" s="5">
        <v>37462</v>
      </c>
      <c r="G333" s="4"/>
      <c r="H333" s="5">
        <v>40806</v>
      </c>
      <c r="I333" s="4" t="s">
        <v>543</v>
      </c>
      <c r="J333" s="4" t="s">
        <v>418</v>
      </c>
      <c r="K333" s="4" t="s">
        <v>90</v>
      </c>
      <c r="L333" s="4" t="s">
        <v>544</v>
      </c>
      <c r="M333" s="3">
        <f>IF(H333 = "","",MONTH(H333))</f>
        <v>9</v>
      </c>
      <c r="N333" s="3">
        <f>IF(H333 = "","",YEAR(H333))</f>
        <v>2011</v>
      </c>
      <c r="O333" s="6" t="str">
        <f t="shared" si="29"/>
        <v>-</v>
      </c>
      <c r="P333" s="6" t="str">
        <f t="shared" si="30"/>
        <v>-</v>
      </c>
      <c r="Q333" s="6" t="str">
        <f t="shared" si="31"/>
        <v>-</v>
      </c>
      <c r="R333" s="6" t="str">
        <f t="shared" si="32"/>
        <v>-</v>
      </c>
      <c r="S333" s="6" t="str">
        <f t="shared" si="33"/>
        <v>-</v>
      </c>
    </row>
    <row r="334" spans="1:19" ht="14.1" customHeight="1" thickBot="1" x14ac:dyDescent="0.25">
      <c r="A334" s="4" t="str">
        <f>"0218"</f>
        <v>0218</v>
      </c>
      <c r="B334" s="5">
        <v>37432</v>
      </c>
      <c r="C334" s="4"/>
      <c r="D334" s="4" t="str">
        <f>"02016"</f>
        <v>02016</v>
      </c>
      <c r="E334" s="4"/>
      <c r="F334" s="4"/>
      <c r="G334" s="4"/>
      <c r="H334" s="4"/>
      <c r="I334" s="4" t="s">
        <v>545</v>
      </c>
      <c r="J334" s="4" t="s">
        <v>546</v>
      </c>
      <c r="K334" s="4" t="s">
        <v>90</v>
      </c>
      <c r="L334" s="4" t="s">
        <v>21</v>
      </c>
      <c r="M334" s="3" t="str">
        <f>IF(H334 = "","",MONTH(H334))</f>
        <v/>
      </c>
      <c r="N334" s="3" t="str">
        <f>IF(H334 = "","",YEAR(H334))</f>
        <v/>
      </c>
      <c r="O334" s="6" t="str">
        <f t="shared" si="29"/>
        <v>-</v>
      </c>
      <c r="P334" s="6" t="str">
        <f t="shared" si="30"/>
        <v>-</v>
      </c>
      <c r="Q334" s="6" t="str">
        <f t="shared" si="31"/>
        <v>-</v>
      </c>
      <c r="R334" s="6" t="str">
        <f t="shared" si="32"/>
        <v>-</v>
      </c>
      <c r="S334" s="6" t="str">
        <f t="shared" si="33"/>
        <v>-</v>
      </c>
    </row>
    <row r="335" spans="1:19" ht="14.1" customHeight="1" thickBot="1" x14ac:dyDescent="0.25">
      <c r="A335" s="4" t="str">
        <f>"0216"</f>
        <v>0216</v>
      </c>
      <c r="B335" s="5">
        <v>37427</v>
      </c>
      <c r="C335" s="4"/>
      <c r="D335" s="4" t="str">
        <f>"02021"</f>
        <v>02021</v>
      </c>
      <c r="E335" s="4"/>
      <c r="F335" s="5">
        <v>38071</v>
      </c>
      <c r="G335" s="4"/>
      <c r="H335" s="5">
        <v>38029</v>
      </c>
      <c r="I335" s="4" t="s">
        <v>547</v>
      </c>
      <c r="J335" s="4" t="s">
        <v>418</v>
      </c>
      <c r="K335" s="4" t="s">
        <v>90</v>
      </c>
      <c r="L335" s="4" t="s">
        <v>21</v>
      </c>
      <c r="M335" s="3">
        <f>IF(H335 = "","",MONTH(H335))</f>
        <v>2</v>
      </c>
      <c r="N335" s="3">
        <f>IF(H335 = "","",YEAR(H335))</f>
        <v>2004</v>
      </c>
      <c r="O335" s="6" t="str">
        <f t="shared" si="29"/>
        <v>-</v>
      </c>
      <c r="P335" s="6" t="str">
        <f t="shared" si="30"/>
        <v>-</v>
      </c>
      <c r="Q335" s="6" t="str">
        <f t="shared" si="31"/>
        <v>-</v>
      </c>
      <c r="R335" s="6" t="str">
        <f t="shared" si="32"/>
        <v>-</v>
      </c>
      <c r="S335" s="6" t="str">
        <f t="shared" si="33"/>
        <v>-</v>
      </c>
    </row>
    <row r="336" spans="1:19" ht="14.1" customHeight="1" thickBot="1" x14ac:dyDescent="0.25">
      <c r="A336" s="4" t="str">
        <f>"0215"</f>
        <v>0215</v>
      </c>
      <c r="B336" s="5">
        <v>37420</v>
      </c>
      <c r="C336" s="4"/>
      <c r="D336" s="4" t="str">
        <f>"02012"</f>
        <v>02012</v>
      </c>
      <c r="E336" s="4"/>
      <c r="F336" s="4"/>
      <c r="G336" s="4"/>
      <c r="H336" s="4"/>
      <c r="I336" s="4" t="s">
        <v>548</v>
      </c>
      <c r="J336" s="4" t="s">
        <v>549</v>
      </c>
      <c r="K336" s="4" t="s">
        <v>90</v>
      </c>
      <c r="L336" s="4" t="s">
        <v>21</v>
      </c>
      <c r="M336" s="3" t="str">
        <f>IF(H336 = "","",MONTH(H336))</f>
        <v/>
      </c>
      <c r="N336" s="3" t="str">
        <f>IF(H336 = "","",YEAR(H336))</f>
        <v/>
      </c>
      <c r="O336" s="6" t="str">
        <f t="shared" si="29"/>
        <v>-</v>
      </c>
      <c r="P336" s="6" t="str">
        <f t="shared" si="30"/>
        <v>-</v>
      </c>
      <c r="Q336" s="6" t="str">
        <f t="shared" si="31"/>
        <v>-</v>
      </c>
      <c r="R336" s="6" t="str">
        <f t="shared" si="32"/>
        <v>-</v>
      </c>
      <c r="S336" s="6" t="str">
        <f t="shared" si="33"/>
        <v>-</v>
      </c>
    </row>
    <row r="337" spans="1:19" ht="14.1" customHeight="1" thickBot="1" x14ac:dyDescent="0.25">
      <c r="A337" s="4" t="str">
        <f>"0213"</f>
        <v>0213</v>
      </c>
      <c r="B337" s="5">
        <v>37356</v>
      </c>
      <c r="C337" s="4"/>
      <c r="D337" s="4" t="str">
        <f>"02009"</f>
        <v>02009</v>
      </c>
      <c r="E337" s="4"/>
      <c r="F337" s="4"/>
      <c r="G337" s="4"/>
      <c r="H337" s="4"/>
      <c r="I337" s="4" t="s">
        <v>550</v>
      </c>
      <c r="J337" s="4" t="s">
        <v>551</v>
      </c>
      <c r="K337" s="4" t="s">
        <v>90</v>
      </c>
      <c r="L337" s="4" t="s">
        <v>50</v>
      </c>
      <c r="M337" s="3" t="str">
        <f>IF(H337 = "","",MONTH(H337))</f>
        <v/>
      </c>
      <c r="N337" s="3" t="str">
        <f>IF(H337 = "","",YEAR(H337))</f>
        <v/>
      </c>
      <c r="O337" s="6" t="str">
        <f t="shared" si="29"/>
        <v>-</v>
      </c>
      <c r="P337" s="6" t="str">
        <f t="shared" si="30"/>
        <v>-</v>
      </c>
      <c r="Q337" s="6" t="str">
        <f t="shared" si="31"/>
        <v>-</v>
      </c>
      <c r="R337" s="6" t="str">
        <f t="shared" si="32"/>
        <v>-</v>
      </c>
      <c r="S337" s="6" t="str">
        <f t="shared" si="33"/>
        <v>-</v>
      </c>
    </row>
    <row r="338" spans="1:19" ht="14.1" customHeight="1" thickBot="1" x14ac:dyDescent="0.25">
      <c r="A338" s="4" t="str">
        <f>"0211"</f>
        <v>0211</v>
      </c>
      <c r="B338" s="5">
        <v>37355</v>
      </c>
      <c r="C338" s="4"/>
      <c r="D338" s="4" t="str">
        <f>"02007"</f>
        <v>02007</v>
      </c>
      <c r="E338" s="4"/>
      <c r="F338" s="4"/>
      <c r="G338" s="4"/>
      <c r="H338" s="4"/>
      <c r="I338" s="4" t="s">
        <v>552</v>
      </c>
      <c r="J338" s="4" t="s">
        <v>553</v>
      </c>
      <c r="K338" s="4" t="s">
        <v>90</v>
      </c>
      <c r="L338" s="4" t="s">
        <v>21</v>
      </c>
      <c r="M338" s="3" t="str">
        <f>IF(H338 = "","",MONTH(H338))</f>
        <v/>
      </c>
      <c r="N338" s="3" t="str">
        <f>IF(H338 = "","",YEAR(H338))</f>
        <v/>
      </c>
      <c r="O338" s="6" t="str">
        <f t="shared" si="29"/>
        <v>-</v>
      </c>
      <c r="P338" s="6" t="str">
        <f t="shared" si="30"/>
        <v>-</v>
      </c>
      <c r="Q338" s="6" t="str">
        <f t="shared" si="31"/>
        <v>-</v>
      </c>
      <c r="R338" s="6" t="str">
        <f t="shared" si="32"/>
        <v>-</v>
      </c>
      <c r="S338" s="6" t="str">
        <f t="shared" si="33"/>
        <v>-</v>
      </c>
    </row>
    <row r="339" spans="1:19" ht="14.1" customHeight="1" thickBot="1" x14ac:dyDescent="0.25">
      <c r="A339" s="4" t="str">
        <f>"0210"</f>
        <v>0210</v>
      </c>
      <c r="B339" s="5">
        <v>37322</v>
      </c>
      <c r="C339" s="4"/>
      <c r="D339" s="4" t="str">
        <f>"02005"</f>
        <v>02005</v>
      </c>
      <c r="E339" s="4"/>
      <c r="F339" s="4"/>
      <c r="G339" s="4"/>
      <c r="H339" s="4"/>
      <c r="I339" s="4" t="s">
        <v>554</v>
      </c>
      <c r="J339" s="4" t="s">
        <v>555</v>
      </c>
      <c r="K339" s="4" t="s">
        <v>90</v>
      </c>
      <c r="L339" s="4" t="s">
        <v>21</v>
      </c>
      <c r="M339" s="3" t="str">
        <f>IF(H339 = "","",MONTH(H339))</f>
        <v/>
      </c>
      <c r="N339" s="3" t="str">
        <f>IF(H339 = "","",YEAR(H339))</f>
        <v/>
      </c>
      <c r="O339" s="6" t="str">
        <f t="shared" si="29"/>
        <v>-</v>
      </c>
      <c r="P339" s="6" t="str">
        <f t="shared" si="30"/>
        <v>-</v>
      </c>
      <c r="Q339" s="6" t="str">
        <f t="shared" si="31"/>
        <v>-</v>
      </c>
      <c r="R339" s="6" t="str">
        <f t="shared" si="32"/>
        <v>-</v>
      </c>
      <c r="S339" s="6" t="str">
        <f t="shared" si="33"/>
        <v>-</v>
      </c>
    </row>
    <row r="340" spans="1:19" ht="14.1" customHeight="1" thickBot="1" x14ac:dyDescent="0.25">
      <c r="A340" s="4" t="str">
        <f>"0207"</f>
        <v>0207</v>
      </c>
      <c r="B340" s="5">
        <v>37319</v>
      </c>
      <c r="C340" s="4"/>
      <c r="D340" s="4" t="str">
        <f>"02006"</f>
        <v>02006</v>
      </c>
      <c r="E340" s="4"/>
      <c r="F340" s="4"/>
      <c r="G340" s="4"/>
      <c r="H340" s="4"/>
      <c r="I340" s="4" t="s">
        <v>556</v>
      </c>
      <c r="J340" s="4" t="s">
        <v>557</v>
      </c>
      <c r="K340" s="4" t="s">
        <v>90</v>
      </c>
      <c r="L340" s="4" t="s">
        <v>127</v>
      </c>
      <c r="M340" s="3" t="str">
        <f>IF(H340 = "","",MONTH(H340))</f>
        <v/>
      </c>
      <c r="N340" s="3" t="str">
        <f>IF(H340 = "","",YEAR(H340))</f>
        <v/>
      </c>
      <c r="O340" s="6" t="str">
        <f t="shared" si="29"/>
        <v>-</v>
      </c>
      <c r="P340" s="6" t="str">
        <f t="shared" si="30"/>
        <v>-</v>
      </c>
      <c r="Q340" s="6" t="str">
        <f t="shared" si="31"/>
        <v>-</v>
      </c>
      <c r="R340" s="6" t="str">
        <f t="shared" si="32"/>
        <v>-</v>
      </c>
      <c r="S340" s="6" t="str">
        <f t="shared" si="33"/>
        <v>-</v>
      </c>
    </row>
    <row r="341" spans="1:19" ht="14.1" customHeight="1" thickBot="1" x14ac:dyDescent="0.25">
      <c r="A341" s="4" t="str">
        <f>"0205"</f>
        <v>0205</v>
      </c>
      <c r="B341" s="5">
        <v>37305</v>
      </c>
      <c r="C341" s="4"/>
      <c r="D341" s="4" t="str">
        <f>"02002"</f>
        <v>02002</v>
      </c>
      <c r="E341" s="4"/>
      <c r="F341" s="4"/>
      <c r="G341" s="4"/>
      <c r="H341" s="4"/>
      <c r="I341" s="4" t="s">
        <v>558</v>
      </c>
      <c r="J341" s="4" t="s">
        <v>559</v>
      </c>
      <c r="K341" s="4" t="s">
        <v>90</v>
      </c>
      <c r="L341" s="4" t="s">
        <v>21</v>
      </c>
      <c r="M341" s="3" t="str">
        <f>IF(H341 = "","",MONTH(H341))</f>
        <v/>
      </c>
      <c r="N341" s="3" t="str">
        <f>IF(H341 = "","",YEAR(H341))</f>
        <v/>
      </c>
      <c r="O341" s="6" t="str">
        <f t="shared" si="29"/>
        <v>-</v>
      </c>
      <c r="P341" s="6" t="str">
        <f t="shared" si="30"/>
        <v>-</v>
      </c>
      <c r="Q341" s="6" t="str">
        <f t="shared" si="31"/>
        <v>-</v>
      </c>
      <c r="R341" s="6" t="str">
        <f t="shared" si="32"/>
        <v>-</v>
      </c>
      <c r="S341" s="6" t="str">
        <f t="shared" si="33"/>
        <v>-</v>
      </c>
    </row>
    <row r="342" spans="1:19" ht="14.1" customHeight="1" thickBot="1" x14ac:dyDescent="0.25">
      <c r="A342" s="4" t="str">
        <f>"0307"</f>
        <v>0307</v>
      </c>
      <c r="B342" s="5">
        <v>37302</v>
      </c>
      <c r="C342" s="4"/>
      <c r="D342" s="4"/>
      <c r="E342" s="4"/>
      <c r="F342" s="4"/>
      <c r="G342" s="4"/>
      <c r="H342" s="4"/>
      <c r="I342" s="4"/>
      <c r="J342" s="4"/>
      <c r="K342" s="4" t="s">
        <v>560</v>
      </c>
      <c r="L342" s="4" t="str">
        <f>"0"</f>
        <v>0</v>
      </c>
      <c r="M342" s="3" t="str">
        <f>IF(H342 = "","",MONTH(H342))</f>
        <v/>
      </c>
      <c r="N342" s="3" t="str">
        <f>IF(H342 = "","",YEAR(H342))</f>
        <v/>
      </c>
      <c r="O342" s="6" t="str">
        <f t="shared" si="29"/>
        <v>-</v>
      </c>
      <c r="P342" s="6" t="str">
        <f t="shared" si="30"/>
        <v>-</v>
      </c>
      <c r="Q342" s="6" t="str">
        <f t="shared" si="31"/>
        <v>-</v>
      </c>
      <c r="R342" s="6" t="str">
        <f t="shared" si="32"/>
        <v>-</v>
      </c>
      <c r="S342" s="6" t="str">
        <f t="shared" si="33"/>
        <v>-</v>
      </c>
    </row>
    <row r="343" spans="1:19" ht="14.1" customHeight="1" thickBot="1" x14ac:dyDescent="0.25">
      <c r="A343" s="4" t="str">
        <f>"0203"</f>
        <v>0203</v>
      </c>
      <c r="B343" s="5">
        <v>37299</v>
      </c>
      <c r="C343" s="4"/>
      <c r="D343" s="4" t="str">
        <f>"02014"</f>
        <v>02014</v>
      </c>
      <c r="E343" s="4"/>
      <c r="F343" s="4"/>
      <c r="G343" s="4"/>
      <c r="H343" s="4"/>
      <c r="I343" s="4" t="s">
        <v>561</v>
      </c>
      <c r="J343" s="4" t="s">
        <v>418</v>
      </c>
      <c r="K343" s="4" t="s">
        <v>90</v>
      </c>
      <c r="L343" s="4" t="s">
        <v>21</v>
      </c>
      <c r="M343" s="3" t="str">
        <f>IF(H343 = "","",MONTH(H343))</f>
        <v/>
      </c>
      <c r="N343" s="3" t="str">
        <f>IF(H343 = "","",YEAR(H343))</f>
        <v/>
      </c>
      <c r="O343" s="6" t="str">
        <f t="shared" si="29"/>
        <v>-</v>
      </c>
      <c r="P343" s="6" t="str">
        <f t="shared" si="30"/>
        <v>-</v>
      </c>
      <c r="Q343" s="6" t="str">
        <f t="shared" si="31"/>
        <v>-</v>
      </c>
      <c r="R343" s="6" t="str">
        <f t="shared" si="32"/>
        <v>-</v>
      </c>
      <c r="S343" s="6" t="str">
        <f t="shared" si="33"/>
        <v>-</v>
      </c>
    </row>
    <row r="344" spans="1:19" ht="14.1" customHeight="1" thickBot="1" x14ac:dyDescent="0.25">
      <c r="A344" s="4" t="str">
        <f>"0202"</f>
        <v>0202</v>
      </c>
      <c r="B344" s="5">
        <v>37278</v>
      </c>
      <c r="C344" s="4"/>
      <c r="D344" s="4" t="str">
        <f>"02011"</f>
        <v>02011</v>
      </c>
      <c r="E344" s="4"/>
      <c r="F344" s="4"/>
      <c r="G344" s="4"/>
      <c r="H344" s="4"/>
      <c r="I344" s="4" t="s">
        <v>562</v>
      </c>
      <c r="J344" s="4" t="s">
        <v>563</v>
      </c>
      <c r="K344" s="4" t="s">
        <v>90</v>
      </c>
      <c r="L344" s="4" t="s">
        <v>21</v>
      </c>
      <c r="M344" s="3" t="str">
        <f>IF(H344 = "","",MONTH(H344))</f>
        <v/>
      </c>
      <c r="N344" s="3" t="str">
        <f>IF(H344 = "","",YEAR(H344))</f>
        <v/>
      </c>
      <c r="O344" s="6" t="str">
        <f t="shared" si="29"/>
        <v>-</v>
      </c>
      <c r="P344" s="6" t="str">
        <f t="shared" si="30"/>
        <v>-</v>
      </c>
      <c r="Q344" s="6" t="str">
        <f t="shared" si="31"/>
        <v>-</v>
      </c>
      <c r="R344" s="6" t="str">
        <f t="shared" si="32"/>
        <v>-</v>
      </c>
      <c r="S344" s="6" t="str">
        <f t="shared" si="33"/>
        <v>-</v>
      </c>
    </row>
    <row r="345" spans="1:19" ht="14.1" customHeight="1" thickBot="1" x14ac:dyDescent="0.25">
      <c r="A345" s="4" t="str">
        <f>"0305"</f>
        <v>0305</v>
      </c>
      <c r="B345" s="5">
        <v>37239</v>
      </c>
      <c r="C345" s="4"/>
      <c r="D345" s="4" t="str">
        <f>"02001"</f>
        <v>02001</v>
      </c>
      <c r="E345" s="4"/>
      <c r="F345" s="4"/>
      <c r="G345" s="4"/>
      <c r="H345" s="4"/>
      <c r="I345" s="4" t="s">
        <v>564</v>
      </c>
      <c r="J345" s="4" t="s">
        <v>387</v>
      </c>
      <c r="K345" s="4"/>
      <c r="L345" s="4" t="s">
        <v>127</v>
      </c>
      <c r="M345" s="3" t="str">
        <f>IF(H345 = "","",MONTH(H345))</f>
        <v/>
      </c>
      <c r="N345" s="3" t="str">
        <f>IF(H345 = "","",YEAR(H345))</f>
        <v/>
      </c>
      <c r="O345" s="6" t="str">
        <f t="shared" si="29"/>
        <v>-</v>
      </c>
      <c r="P345" s="6" t="str">
        <f t="shared" si="30"/>
        <v>-</v>
      </c>
      <c r="Q345" s="6" t="str">
        <f t="shared" si="31"/>
        <v>-</v>
      </c>
      <c r="R345" s="6" t="str">
        <f t="shared" si="32"/>
        <v>-</v>
      </c>
      <c r="S345" s="6" t="str">
        <f t="shared" si="33"/>
        <v>-</v>
      </c>
    </row>
    <row r="346" spans="1:19" ht="14.1" customHeight="1" thickBot="1" x14ac:dyDescent="0.25">
      <c r="A346" s="4" t="str">
        <f>"0422"</f>
        <v>0422</v>
      </c>
      <c r="B346" s="5">
        <v>36923</v>
      </c>
      <c r="C346" s="4"/>
      <c r="D346" s="4" t="str">
        <f>"04013"</f>
        <v>04013</v>
      </c>
      <c r="E346" s="4"/>
      <c r="F346" s="4"/>
      <c r="G346" s="4"/>
      <c r="H346" s="4"/>
      <c r="I346" s="4" t="s">
        <v>565</v>
      </c>
      <c r="J346" s="4" t="s">
        <v>566</v>
      </c>
      <c r="K346" s="4" t="s">
        <v>90</v>
      </c>
      <c r="L346" s="4" t="s">
        <v>21</v>
      </c>
      <c r="M346" s="3" t="str">
        <f>IF(H346 = "","",MONTH(H346))</f>
        <v/>
      </c>
      <c r="N346" s="3" t="str">
        <f>IF(H346 = "","",YEAR(H346))</f>
        <v/>
      </c>
      <c r="O346" s="6" t="str">
        <f t="shared" si="29"/>
        <v>-</v>
      </c>
      <c r="P346" s="6" t="str">
        <f t="shared" si="30"/>
        <v>-</v>
      </c>
      <c r="Q346" s="6" t="str">
        <f t="shared" si="31"/>
        <v>-</v>
      </c>
      <c r="R346" s="6" t="str">
        <f t="shared" si="32"/>
        <v>-</v>
      </c>
      <c r="S346" s="6" t="str">
        <f t="shared" si="33"/>
        <v>-</v>
      </c>
    </row>
    <row r="347" spans="1:19" ht="14.1" customHeight="1" thickBot="1" x14ac:dyDescent="0.25">
      <c r="A347" s="4" t="str">
        <f>"0287"</f>
        <v>0287</v>
      </c>
      <c r="B347" s="5">
        <v>36892</v>
      </c>
      <c r="C347" s="4"/>
      <c r="D347" s="4" t="str">
        <f>"02000"</f>
        <v>02000</v>
      </c>
      <c r="E347" s="4"/>
      <c r="F347" s="4"/>
      <c r="G347" s="4"/>
      <c r="H347" s="4"/>
      <c r="I347" s="4" t="s">
        <v>567</v>
      </c>
      <c r="J347" s="4" t="s">
        <v>568</v>
      </c>
      <c r="K347" s="4" t="s">
        <v>569</v>
      </c>
      <c r="L347" s="4" t="s">
        <v>162</v>
      </c>
      <c r="M347" s="3" t="str">
        <f>IF(H347 = "","",MONTH(H347))</f>
        <v/>
      </c>
      <c r="N347" s="3" t="str">
        <f>IF(H347 = "","",YEAR(H347))</f>
        <v/>
      </c>
      <c r="O347" s="6" t="str">
        <f t="shared" si="29"/>
        <v>-</v>
      </c>
      <c r="P347" s="6" t="str">
        <f t="shared" si="30"/>
        <v>-</v>
      </c>
      <c r="Q347" s="6" t="str">
        <f t="shared" si="31"/>
        <v>-</v>
      </c>
      <c r="R347" s="6" t="str">
        <f t="shared" si="32"/>
        <v>-</v>
      </c>
      <c r="S347" s="6" t="str">
        <f t="shared" si="33"/>
        <v>-</v>
      </c>
    </row>
    <row r="348" spans="1:19" ht="14.1" customHeight="1" thickBot="1" x14ac:dyDescent="0.25">
      <c r="A348" s="4" t="str">
        <f>"0011"</f>
        <v>0011</v>
      </c>
      <c r="B348" s="4"/>
      <c r="C348" s="4"/>
      <c r="D348" s="4" t="str">
        <f>"00011"</f>
        <v>00011</v>
      </c>
      <c r="E348" s="4"/>
      <c r="F348" s="4"/>
      <c r="G348" s="4"/>
      <c r="H348" s="4"/>
      <c r="I348" s="4" t="s">
        <v>570</v>
      </c>
      <c r="J348" s="4" t="s">
        <v>571</v>
      </c>
      <c r="K348" s="4" t="s">
        <v>90</v>
      </c>
      <c r="L348" s="4" t="s">
        <v>21</v>
      </c>
      <c r="M348" s="3" t="str">
        <f>IF(H348 = "","",MONTH(H348))</f>
        <v/>
      </c>
      <c r="N348" s="3" t="str">
        <f>IF(H348 = "","",YEAR(H348))</f>
        <v/>
      </c>
      <c r="O348" s="6" t="str">
        <f t="shared" si="29"/>
        <v>-</v>
      </c>
      <c r="P348" s="6" t="str">
        <f t="shared" si="30"/>
        <v>-</v>
      </c>
      <c r="Q348" s="6" t="str">
        <f t="shared" si="31"/>
        <v>-</v>
      </c>
      <c r="R348" s="6" t="str">
        <f t="shared" si="32"/>
        <v>-</v>
      </c>
      <c r="S348" s="6" t="str">
        <f t="shared" si="33"/>
        <v>-</v>
      </c>
    </row>
    <row r="349" spans="1:19" ht="14.1" customHeight="1" thickBot="1" x14ac:dyDescent="0.25">
      <c r="A349" s="4" t="str">
        <f>"0489"</f>
        <v>0489</v>
      </c>
      <c r="B349" s="4"/>
      <c r="C349" s="4"/>
      <c r="D349" s="4" t="str">
        <f>"04005"</f>
        <v>04005</v>
      </c>
      <c r="E349" s="4"/>
      <c r="F349" s="4"/>
      <c r="G349" s="4"/>
      <c r="H349" s="4"/>
      <c r="I349" s="4" t="s">
        <v>572</v>
      </c>
      <c r="J349" s="4" t="s">
        <v>573</v>
      </c>
      <c r="K349" s="4" t="s">
        <v>90</v>
      </c>
      <c r="L349" s="4" t="s">
        <v>21</v>
      </c>
      <c r="M349" s="3" t="str">
        <f>IF(H349 = "","",MONTH(H349))</f>
        <v/>
      </c>
      <c r="N349" s="3" t="str">
        <f>IF(H349 = "","",YEAR(H349))</f>
        <v/>
      </c>
      <c r="O349" s="6" t="str">
        <f t="shared" si="29"/>
        <v>-</v>
      </c>
      <c r="P349" s="6" t="str">
        <f t="shared" si="30"/>
        <v>-</v>
      </c>
      <c r="Q349" s="6" t="str">
        <f t="shared" si="31"/>
        <v>-</v>
      </c>
      <c r="R349" s="6" t="str">
        <f t="shared" si="32"/>
        <v>-</v>
      </c>
      <c r="S349" s="6" t="str">
        <f t="shared" si="33"/>
        <v>-</v>
      </c>
    </row>
    <row r="350" spans="1:19" ht="14.1" customHeight="1" thickBot="1" x14ac:dyDescent="0.25">
      <c r="A350" s="4" t="str">
        <f>"0333"</f>
        <v>0333</v>
      </c>
      <c r="B350" s="4"/>
      <c r="C350" s="4"/>
      <c r="D350" s="4"/>
      <c r="E350" s="4"/>
      <c r="F350" s="4"/>
      <c r="G350" s="4"/>
      <c r="H350" s="4"/>
      <c r="I350" s="4"/>
      <c r="J350" s="4" t="s">
        <v>574</v>
      </c>
      <c r="K350" s="4"/>
      <c r="L350" s="4" t="str">
        <f>"0"</f>
        <v>0</v>
      </c>
      <c r="M350" s="3" t="str">
        <f>IF(H350 = "","",MONTH(H350))</f>
        <v/>
      </c>
      <c r="N350" s="3" t="str">
        <f>IF(H350 = "","",YEAR(H350))</f>
        <v/>
      </c>
      <c r="O350" s="6" t="str">
        <f t="shared" si="29"/>
        <v>-</v>
      </c>
      <c r="P350" s="6" t="str">
        <f t="shared" si="30"/>
        <v>-</v>
      </c>
      <c r="Q350" s="6" t="str">
        <f t="shared" si="31"/>
        <v>-</v>
      </c>
      <c r="R350" s="6" t="str">
        <f t="shared" si="32"/>
        <v>-</v>
      </c>
      <c r="S350" s="6" t="str">
        <f t="shared" si="33"/>
        <v>-</v>
      </c>
    </row>
    <row r="351" spans="1:19" ht="14.1" customHeight="1" thickBot="1" x14ac:dyDescent="0.25">
      <c r="A351" s="4" t="str">
        <f>"0385"</f>
        <v>0385</v>
      </c>
      <c r="B351" s="4"/>
      <c r="C351" s="4"/>
      <c r="D351" s="4" t="str">
        <f>"03011"</f>
        <v>03011</v>
      </c>
      <c r="E351" s="4"/>
      <c r="F351" s="4"/>
      <c r="G351" s="4"/>
      <c r="H351" s="4"/>
      <c r="I351" s="4" t="s">
        <v>575</v>
      </c>
      <c r="J351" s="4" t="s">
        <v>439</v>
      </c>
      <c r="K351" s="4"/>
      <c r="L351" s="4" t="s">
        <v>21</v>
      </c>
      <c r="M351" s="3" t="str">
        <f>IF(H351 = "","",MONTH(H351))</f>
        <v/>
      </c>
      <c r="N351" s="3" t="str">
        <f>IF(H351 = "","",YEAR(H351))</f>
        <v/>
      </c>
      <c r="O351" s="6" t="str">
        <f t="shared" si="29"/>
        <v>-</v>
      </c>
      <c r="P351" s="6" t="str">
        <f t="shared" si="30"/>
        <v>-</v>
      </c>
      <c r="Q351" s="6" t="str">
        <f t="shared" si="31"/>
        <v>-</v>
      </c>
      <c r="R351" s="6" t="str">
        <f t="shared" si="32"/>
        <v>-</v>
      </c>
      <c r="S351" s="6" t="str">
        <f t="shared" si="33"/>
        <v>-</v>
      </c>
    </row>
    <row r="352" spans="1:19" ht="14.1" customHeight="1" thickBot="1" x14ac:dyDescent="0.25">
      <c r="A352" s="4" t="str">
        <f>"0107"</f>
        <v>0107</v>
      </c>
      <c r="B352" s="4"/>
      <c r="C352" s="4"/>
      <c r="D352" s="4" t="str">
        <f>"01007"</f>
        <v>01007</v>
      </c>
      <c r="E352" s="4"/>
      <c r="F352" s="4"/>
      <c r="G352" s="4"/>
      <c r="H352" s="4"/>
      <c r="I352" s="4" t="s">
        <v>576</v>
      </c>
      <c r="J352" s="4" t="s">
        <v>495</v>
      </c>
      <c r="K352" s="4" t="s">
        <v>90</v>
      </c>
      <c r="L352" s="4" t="s">
        <v>21</v>
      </c>
      <c r="M352" s="3" t="str">
        <f>IF(H352 = "","",MONTH(H352))</f>
        <v/>
      </c>
      <c r="N352" s="3" t="str">
        <f>IF(H352 = "","",YEAR(H352))</f>
        <v/>
      </c>
      <c r="O352" s="6" t="str">
        <f t="shared" si="29"/>
        <v>-</v>
      </c>
      <c r="P352" s="6" t="str">
        <f t="shared" si="30"/>
        <v>-</v>
      </c>
      <c r="Q352" s="6" t="str">
        <f t="shared" si="31"/>
        <v>-</v>
      </c>
      <c r="R352" s="6" t="str">
        <f t="shared" si="32"/>
        <v>-</v>
      </c>
      <c r="S352" s="6" t="str">
        <f t="shared" si="33"/>
        <v>-</v>
      </c>
    </row>
    <row r="353" spans="1:19" ht="14.1" customHeight="1" thickBot="1" x14ac:dyDescent="0.25">
      <c r="A353" s="4" t="str">
        <f>"0221"</f>
        <v>0221</v>
      </c>
      <c r="B353" s="4"/>
      <c r="C353" s="4"/>
      <c r="D353" s="4" t="str">
        <f>"02022"</f>
        <v>02022</v>
      </c>
      <c r="E353" s="4"/>
      <c r="F353" s="4"/>
      <c r="G353" s="4"/>
      <c r="H353" s="4"/>
      <c r="I353" s="4" t="s">
        <v>577</v>
      </c>
      <c r="J353" s="4" t="s">
        <v>310</v>
      </c>
      <c r="K353" s="4" t="s">
        <v>90</v>
      </c>
      <c r="L353" s="4" t="s">
        <v>21</v>
      </c>
      <c r="M353" s="3" t="str">
        <f>IF(H353 = "","",MONTH(H353))</f>
        <v/>
      </c>
      <c r="N353" s="3" t="str">
        <f>IF(H353 = "","",YEAR(H353))</f>
        <v/>
      </c>
      <c r="O353" s="6" t="str">
        <f t="shared" si="29"/>
        <v>-</v>
      </c>
      <c r="P353" s="6" t="str">
        <f t="shared" si="30"/>
        <v>-</v>
      </c>
      <c r="Q353" s="6" t="str">
        <f t="shared" si="31"/>
        <v>-</v>
      </c>
      <c r="R353" s="6" t="str">
        <f t="shared" si="32"/>
        <v>-</v>
      </c>
      <c r="S353" s="6" t="str">
        <f t="shared" si="33"/>
        <v>-</v>
      </c>
    </row>
    <row r="354" spans="1:19" ht="14.1" customHeight="1" thickBot="1" x14ac:dyDescent="0.25">
      <c r="A354" s="4" t="str">
        <f>"0266"</f>
        <v>0266</v>
      </c>
      <c r="B354" s="4"/>
      <c r="C354" s="4"/>
      <c r="D354" s="4" t="str">
        <f>"02004"</f>
        <v>02004</v>
      </c>
      <c r="E354" s="4"/>
      <c r="F354" s="4"/>
      <c r="G354" s="4"/>
      <c r="H354" s="4"/>
      <c r="I354" s="4" t="s">
        <v>578</v>
      </c>
      <c r="J354" s="4" t="s">
        <v>579</v>
      </c>
      <c r="K354" s="4" t="s">
        <v>90</v>
      </c>
      <c r="L354" s="4" t="s">
        <v>21</v>
      </c>
      <c r="M354" s="3" t="str">
        <f>IF(H354 = "","",MONTH(H354))</f>
        <v/>
      </c>
      <c r="N354" s="3" t="str">
        <f>IF(H354 = "","",YEAR(H354))</f>
        <v/>
      </c>
      <c r="O354" s="6" t="str">
        <f t="shared" si="29"/>
        <v>-</v>
      </c>
      <c r="P354" s="6" t="str">
        <f t="shared" si="30"/>
        <v>-</v>
      </c>
      <c r="Q354" s="6" t="str">
        <f t="shared" si="31"/>
        <v>-</v>
      </c>
      <c r="R354" s="6" t="str">
        <f t="shared" si="32"/>
        <v>-</v>
      </c>
      <c r="S354" s="6" t="str">
        <f t="shared" si="33"/>
        <v>-</v>
      </c>
    </row>
    <row r="355" spans="1:19" ht="14.1" customHeight="1" thickBot="1" x14ac:dyDescent="0.25">
      <c r="A355" s="4" t="str">
        <f>"0290"</f>
        <v>0290</v>
      </c>
      <c r="B355" s="4"/>
      <c r="C355" s="4"/>
      <c r="D355" s="4" t="str">
        <f>"02013"</f>
        <v>02013</v>
      </c>
      <c r="E355" s="4"/>
      <c r="F355" s="4"/>
      <c r="G355" s="4"/>
      <c r="H355" s="4"/>
      <c r="I355" s="4" t="s">
        <v>580</v>
      </c>
      <c r="J355" s="4" t="s">
        <v>581</v>
      </c>
      <c r="K355" s="4" t="s">
        <v>582</v>
      </c>
      <c r="L355" s="4" t="s">
        <v>127</v>
      </c>
      <c r="M355" s="3" t="str">
        <f>IF(H355 = "","",MONTH(H355))</f>
        <v/>
      </c>
      <c r="N355" s="3" t="str">
        <f>IF(H355 = "","",YEAR(H355))</f>
        <v/>
      </c>
      <c r="O355" s="6" t="str">
        <f t="shared" si="29"/>
        <v>-</v>
      </c>
      <c r="P355" s="6" t="str">
        <f t="shared" si="30"/>
        <v>-</v>
      </c>
      <c r="Q355" s="6" t="str">
        <f t="shared" si="31"/>
        <v>-</v>
      </c>
      <c r="R355" s="6" t="str">
        <f t="shared" si="32"/>
        <v>-</v>
      </c>
      <c r="S355" s="6" t="str">
        <f t="shared" si="33"/>
        <v>-</v>
      </c>
    </row>
    <row r="356" spans="1:19" ht="14.1" customHeight="1" thickBot="1" x14ac:dyDescent="0.25">
      <c r="A356" s="4" t="str">
        <f>"0014"</f>
        <v>0014</v>
      </c>
      <c r="B356" s="4"/>
      <c r="C356" s="4"/>
      <c r="D356" s="4" t="str">
        <f>"00014"</f>
        <v>00014</v>
      </c>
      <c r="E356" s="4"/>
      <c r="F356" s="4"/>
      <c r="G356" s="4"/>
      <c r="H356" s="4"/>
      <c r="I356" s="4" t="s">
        <v>583</v>
      </c>
      <c r="J356" s="4" t="s">
        <v>584</v>
      </c>
      <c r="K356" s="4" t="s">
        <v>90</v>
      </c>
      <c r="L356" s="4" t="s">
        <v>21</v>
      </c>
      <c r="M356" s="3" t="str">
        <f>IF(H356 = "","",MONTH(H356))</f>
        <v/>
      </c>
      <c r="N356" s="3" t="str">
        <f>IF(H356 = "","",YEAR(H356))</f>
        <v/>
      </c>
      <c r="O356" s="6" t="str">
        <f t="shared" si="29"/>
        <v>-</v>
      </c>
      <c r="P356" s="6" t="str">
        <f t="shared" si="30"/>
        <v>-</v>
      </c>
      <c r="Q356" s="6" t="str">
        <f t="shared" si="31"/>
        <v>-</v>
      </c>
      <c r="R356" s="6" t="str">
        <f t="shared" si="32"/>
        <v>-</v>
      </c>
      <c r="S356" s="6" t="str">
        <f t="shared" si="33"/>
        <v>-</v>
      </c>
    </row>
    <row r="357" spans="1:19" ht="14.1" customHeight="1" thickBot="1" x14ac:dyDescent="0.25">
      <c r="A357" s="4" t="str">
        <f>"0331"</f>
        <v>0331</v>
      </c>
      <c r="B357" s="4"/>
      <c r="C357" s="4"/>
      <c r="D357" s="4" t="str">
        <f>"04007"</f>
        <v>04007</v>
      </c>
      <c r="E357" s="4"/>
      <c r="F357" s="4"/>
      <c r="G357" s="4"/>
      <c r="H357" s="4"/>
      <c r="I357" s="4" t="s">
        <v>585</v>
      </c>
      <c r="J357" s="4" t="s">
        <v>586</v>
      </c>
      <c r="K357" s="4" t="s">
        <v>90</v>
      </c>
      <c r="L357" s="4" t="s">
        <v>21</v>
      </c>
      <c r="M357" s="3" t="str">
        <f>IF(H357 = "","",MONTH(H357))</f>
        <v/>
      </c>
      <c r="N357" s="3" t="str">
        <f>IF(H357 = "","",YEAR(H357))</f>
        <v/>
      </c>
      <c r="O357" s="6" t="str">
        <f t="shared" si="29"/>
        <v>-</v>
      </c>
      <c r="P357" s="6" t="str">
        <f t="shared" si="30"/>
        <v>-</v>
      </c>
      <c r="Q357" s="6" t="str">
        <f t="shared" si="31"/>
        <v>-</v>
      </c>
      <c r="R357" s="6" t="str">
        <f t="shared" si="32"/>
        <v>-</v>
      </c>
      <c r="S357" s="6" t="str">
        <f t="shared" si="33"/>
        <v>-</v>
      </c>
    </row>
    <row r="358" spans="1:19" ht="14.1" customHeight="1" thickBot="1" x14ac:dyDescent="0.25">
      <c r="A358" s="4" t="str">
        <f>"0234"</f>
        <v>0234</v>
      </c>
      <c r="B358" s="4"/>
      <c r="C358" s="4"/>
      <c r="D358" s="4" t="str">
        <f>"02015"</f>
        <v>02015</v>
      </c>
      <c r="E358" s="4"/>
      <c r="F358" s="4"/>
      <c r="G358" s="4"/>
      <c r="H358" s="4"/>
      <c r="I358" s="4" t="s">
        <v>587</v>
      </c>
      <c r="J358" s="4" t="s">
        <v>588</v>
      </c>
      <c r="K358" s="4" t="s">
        <v>73</v>
      </c>
      <c r="L358" s="4" t="s">
        <v>127</v>
      </c>
      <c r="M358" s="3" t="str">
        <f>IF(H358 = "","",MONTH(H358))</f>
        <v/>
      </c>
      <c r="N358" s="3" t="str">
        <f>IF(H358 = "","",YEAR(H358))</f>
        <v/>
      </c>
      <c r="O358" s="6" t="str">
        <f t="shared" si="29"/>
        <v>-</v>
      </c>
      <c r="P358" s="6" t="str">
        <f t="shared" si="30"/>
        <v>-</v>
      </c>
      <c r="Q358" s="6" t="str">
        <f t="shared" si="31"/>
        <v>-</v>
      </c>
      <c r="R358" s="6" t="str">
        <f t="shared" si="32"/>
        <v>-</v>
      </c>
      <c r="S358" s="6" t="str">
        <f t="shared" si="33"/>
        <v>-</v>
      </c>
    </row>
    <row r="359" spans="1:19" ht="14.1" customHeight="1" thickBot="1" x14ac:dyDescent="0.25">
      <c r="A359" s="4" t="str">
        <f>"0166"</f>
        <v>0166</v>
      </c>
      <c r="B359" s="4"/>
      <c r="C359" s="4"/>
      <c r="D359" s="4" t="str">
        <f>"01006"</f>
        <v>01006</v>
      </c>
      <c r="E359" s="4"/>
      <c r="F359" s="4"/>
      <c r="G359" s="4"/>
      <c r="H359" s="4"/>
      <c r="I359" s="4" t="s">
        <v>589</v>
      </c>
      <c r="J359" s="4" t="s">
        <v>439</v>
      </c>
      <c r="K359" s="4" t="s">
        <v>90</v>
      </c>
      <c r="L359" s="4" t="s">
        <v>21</v>
      </c>
      <c r="M359" s="3" t="str">
        <f>IF(H359 = "","",MONTH(H359))</f>
        <v/>
      </c>
      <c r="N359" s="3" t="str">
        <f>IF(H359 = "","",YEAR(H359))</f>
        <v/>
      </c>
      <c r="O359" s="6" t="str">
        <f t="shared" si="29"/>
        <v>-</v>
      </c>
      <c r="P359" s="6" t="str">
        <f t="shared" si="30"/>
        <v>-</v>
      </c>
      <c r="Q359" s="6" t="str">
        <f t="shared" si="31"/>
        <v>-</v>
      </c>
      <c r="R359" s="6" t="str">
        <f t="shared" si="32"/>
        <v>-</v>
      </c>
      <c r="S359" s="6" t="str">
        <f t="shared" si="33"/>
        <v>-</v>
      </c>
    </row>
    <row r="360" spans="1:19" ht="14.1" customHeight="1" thickBot="1" x14ac:dyDescent="0.25">
      <c r="A360" s="4" t="str">
        <f>"0309"</f>
        <v>0309</v>
      </c>
      <c r="B360" s="4"/>
      <c r="C360" s="4"/>
      <c r="D360" s="4" t="str">
        <f>"03006"</f>
        <v>03006</v>
      </c>
      <c r="E360" s="4"/>
      <c r="F360" s="4"/>
      <c r="G360" s="4"/>
      <c r="H360" s="4"/>
      <c r="I360" s="4" t="s">
        <v>590</v>
      </c>
      <c r="J360" s="4" t="s">
        <v>591</v>
      </c>
      <c r="K360" s="4" t="s">
        <v>419</v>
      </c>
      <c r="L360" s="4" t="s">
        <v>21</v>
      </c>
      <c r="M360" s="3" t="str">
        <f>IF(H360 = "","",MONTH(H360))</f>
        <v/>
      </c>
      <c r="N360" s="3" t="str">
        <f>IF(H360 = "","",YEAR(H360))</f>
        <v/>
      </c>
      <c r="O360" s="6" t="str">
        <f t="shared" si="29"/>
        <v>-</v>
      </c>
      <c r="P360" s="6" t="str">
        <f t="shared" si="30"/>
        <v>-</v>
      </c>
      <c r="Q360" s="6" t="str">
        <f t="shared" si="31"/>
        <v>-</v>
      </c>
      <c r="R360" s="6" t="str">
        <f t="shared" si="32"/>
        <v>-</v>
      </c>
      <c r="S360" s="6" t="str">
        <f t="shared" si="33"/>
        <v>-</v>
      </c>
    </row>
    <row r="361" spans="1:19" ht="14.1" customHeight="1" thickBot="1" x14ac:dyDescent="0.25">
      <c r="A361" s="4" t="str">
        <f>"0703"</f>
        <v>0703</v>
      </c>
      <c r="B361" s="4"/>
      <c r="C361" s="4"/>
      <c r="D361" s="4"/>
      <c r="E361" s="4"/>
      <c r="F361" s="4"/>
      <c r="G361" s="4"/>
      <c r="H361" s="4"/>
      <c r="I361" s="4"/>
      <c r="J361" s="4"/>
      <c r="K361" s="4" t="s">
        <v>39</v>
      </c>
      <c r="L361" s="4" t="str">
        <f>"0"</f>
        <v>0</v>
      </c>
      <c r="M361" s="3" t="str">
        <f>IF(H361 = "","",MONTH(H361))</f>
        <v/>
      </c>
      <c r="N361" s="3" t="str">
        <f>IF(H361 = "","",YEAR(H361))</f>
        <v/>
      </c>
      <c r="O361" s="6" t="str">
        <f t="shared" si="29"/>
        <v>-</v>
      </c>
      <c r="P361" s="6" t="str">
        <f t="shared" si="30"/>
        <v>-</v>
      </c>
      <c r="Q361" s="6" t="str">
        <f t="shared" si="31"/>
        <v>-</v>
      </c>
      <c r="R361" s="6" t="str">
        <f t="shared" si="32"/>
        <v>-</v>
      </c>
      <c r="S361" s="6" t="str">
        <f t="shared" si="33"/>
        <v>-</v>
      </c>
    </row>
    <row r="362" spans="1:19" ht="14.1" customHeight="1" thickBot="1" x14ac:dyDescent="0.25">
      <c r="A362" s="4" t="str">
        <f>"0420"</f>
        <v>0420</v>
      </c>
      <c r="B362" s="4"/>
      <c r="C362" s="4"/>
      <c r="D362" s="4" t="str">
        <f>"04018"</f>
        <v>04018</v>
      </c>
      <c r="E362" s="4"/>
      <c r="F362" s="4"/>
      <c r="G362" s="4"/>
      <c r="H362" s="4"/>
      <c r="I362" s="4" t="s">
        <v>592</v>
      </c>
      <c r="J362" s="4" t="s">
        <v>593</v>
      </c>
      <c r="K362" s="4"/>
      <c r="L362" s="4" t="s">
        <v>21</v>
      </c>
      <c r="M362" s="3" t="str">
        <f>IF(H362 = "","",MONTH(H362))</f>
        <v/>
      </c>
      <c r="N362" s="3" t="str">
        <f>IF(H362 = "","",YEAR(H362))</f>
        <v/>
      </c>
      <c r="O362" s="6" t="str">
        <f t="shared" si="29"/>
        <v>-</v>
      </c>
      <c r="P362" s="6" t="str">
        <f t="shared" si="30"/>
        <v>-</v>
      </c>
      <c r="Q362" s="6" t="str">
        <f t="shared" si="31"/>
        <v>-</v>
      </c>
      <c r="R362" s="6" t="str">
        <f t="shared" si="32"/>
        <v>-</v>
      </c>
      <c r="S362" s="6" t="str">
        <f t="shared" si="33"/>
        <v>-</v>
      </c>
    </row>
    <row r="363" spans="1:19" ht="14.1" customHeight="1" thickBot="1" x14ac:dyDescent="0.25">
      <c r="A363" s="4" t="str">
        <f>"0222"</f>
        <v>0222</v>
      </c>
      <c r="B363" s="4"/>
      <c r="C363" s="4"/>
      <c r="D363" s="4" t="str">
        <f>"02024"</f>
        <v>02024</v>
      </c>
      <c r="E363" s="4"/>
      <c r="F363" s="4"/>
      <c r="G363" s="4"/>
      <c r="H363" s="4"/>
      <c r="I363" s="4" t="s">
        <v>594</v>
      </c>
      <c r="J363" s="4"/>
      <c r="K363" s="4"/>
      <c r="L363" s="4" t="s">
        <v>21</v>
      </c>
      <c r="M363" s="3" t="str">
        <f>IF(H363 = "","",MONTH(H363))</f>
        <v/>
      </c>
      <c r="N363" s="3" t="str">
        <f>IF(H363 = "","",YEAR(H363))</f>
        <v/>
      </c>
      <c r="O363" s="6" t="str">
        <f t="shared" si="29"/>
        <v>-</v>
      </c>
      <c r="P363" s="6" t="str">
        <f t="shared" si="30"/>
        <v>-</v>
      </c>
      <c r="Q363" s="6" t="str">
        <f t="shared" si="31"/>
        <v>-</v>
      </c>
      <c r="R363" s="6" t="str">
        <f t="shared" si="32"/>
        <v>-</v>
      </c>
      <c r="S363" s="6" t="str">
        <f t="shared" si="33"/>
        <v>-</v>
      </c>
    </row>
    <row r="364" spans="1:19" ht="14.1" customHeight="1" thickBot="1" x14ac:dyDescent="0.25">
      <c r="A364" s="4" t="str">
        <f>"0003"</f>
        <v>0003</v>
      </c>
      <c r="B364" s="4"/>
      <c r="C364" s="4"/>
      <c r="D364" s="4" t="str">
        <f>"00003"</f>
        <v>00003</v>
      </c>
      <c r="E364" s="4"/>
      <c r="F364" s="4"/>
      <c r="G364" s="4"/>
      <c r="H364" s="4"/>
      <c r="I364" s="4" t="s">
        <v>595</v>
      </c>
      <c r="J364" s="4" t="s">
        <v>596</v>
      </c>
      <c r="K364" s="4" t="s">
        <v>90</v>
      </c>
      <c r="L364" s="4" t="s">
        <v>127</v>
      </c>
      <c r="M364" s="3" t="str">
        <f>IF(H364 = "","",MONTH(H364))</f>
        <v/>
      </c>
      <c r="N364" s="3" t="str">
        <f>IF(H364 = "","",YEAR(H364))</f>
        <v/>
      </c>
      <c r="O364" s="6" t="str">
        <f t="shared" si="29"/>
        <v>-</v>
      </c>
      <c r="P364" s="6" t="str">
        <f t="shared" si="30"/>
        <v>-</v>
      </c>
      <c r="Q364" s="6" t="str">
        <f t="shared" si="31"/>
        <v>-</v>
      </c>
      <c r="R364" s="6" t="str">
        <f t="shared" si="32"/>
        <v>-</v>
      </c>
      <c r="S364" s="6" t="str">
        <f t="shared" si="33"/>
        <v>-</v>
      </c>
    </row>
    <row r="365" spans="1:19" ht="14.1" customHeight="1" thickBot="1" x14ac:dyDescent="0.25">
      <c r="A365" s="4" t="str">
        <f>"0016"</f>
        <v>0016</v>
      </c>
      <c r="B365" s="4"/>
      <c r="C365" s="4"/>
      <c r="D365" s="4" t="str">
        <f>"00016"</f>
        <v>00016</v>
      </c>
      <c r="E365" s="4"/>
      <c r="F365" s="4"/>
      <c r="G365" s="4"/>
      <c r="H365" s="4"/>
      <c r="I365" s="4" t="s">
        <v>597</v>
      </c>
      <c r="J365" s="4" t="s">
        <v>598</v>
      </c>
      <c r="K365" s="4" t="s">
        <v>599</v>
      </c>
      <c r="L365" s="4" t="s">
        <v>21</v>
      </c>
      <c r="M365" s="3" t="str">
        <f>IF(H365 = "","",MONTH(H365))</f>
        <v/>
      </c>
      <c r="N365" s="3" t="str">
        <f>IF(H365 = "","",YEAR(H365))</f>
        <v/>
      </c>
      <c r="O365" s="6" t="str">
        <f t="shared" si="29"/>
        <v>-</v>
      </c>
      <c r="P365" s="6" t="str">
        <f t="shared" si="30"/>
        <v>-</v>
      </c>
      <c r="Q365" s="6" t="str">
        <f t="shared" si="31"/>
        <v>-</v>
      </c>
      <c r="R365" s="6" t="str">
        <f t="shared" si="32"/>
        <v>-</v>
      </c>
      <c r="S365" s="6" t="str">
        <f t="shared" si="33"/>
        <v>-</v>
      </c>
    </row>
    <row r="366" spans="1:19" ht="14.1" customHeight="1" thickBot="1" x14ac:dyDescent="0.25">
      <c r="A366" s="4" t="str">
        <f>"0412"</f>
        <v>0412</v>
      </c>
      <c r="B366" s="4"/>
      <c r="C366" s="4"/>
      <c r="D366" s="4" t="str">
        <f>"04009"</f>
        <v>04009</v>
      </c>
      <c r="E366" s="4"/>
      <c r="F366" s="4"/>
      <c r="G366" s="4"/>
      <c r="H366" s="4"/>
      <c r="I366" s="4" t="s">
        <v>600</v>
      </c>
      <c r="J366" s="4" t="s">
        <v>531</v>
      </c>
      <c r="K366" s="4" t="s">
        <v>90</v>
      </c>
      <c r="L366" s="4" t="s">
        <v>21</v>
      </c>
      <c r="M366" s="3" t="str">
        <f>IF(H366 = "","",MONTH(H366))</f>
        <v/>
      </c>
      <c r="N366" s="3" t="str">
        <f>IF(H366 = "","",YEAR(H366))</f>
        <v/>
      </c>
      <c r="O366" s="6" t="str">
        <f t="shared" si="29"/>
        <v>-</v>
      </c>
      <c r="P366" s="6" t="str">
        <f t="shared" si="30"/>
        <v>-</v>
      </c>
      <c r="Q366" s="6" t="str">
        <f t="shared" si="31"/>
        <v>-</v>
      </c>
      <c r="R366" s="6" t="str">
        <f t="shared" si="32"/>
        <v>-</v>
      </c>
      <c r="S366" s="6" t="str">
        <f t="shared" si="33"/>
        <v>-</v>
      </c>
    </row>
    <row r="367" spans="1:19" ht="14.1" customHeight="1" thickBot="1" x14ac:dyDescent="0.25">
      <c r="A367" s="4" t="str">
        <f>"0192"</f>
        <v>0192</v>
      </c>
      <c r="B367" s="4"/>
      <c r="C367" s="4"/>
      <c r="D367" s="4" t="str">
        <f>"01008"</f>
        <v>01008</v>
      </c>
      <c r="E367" s="4"/>
      <c r="F367" s="4"/>
      <c r="G367" s="4"/>
      <c r="H367" s="4"/>
      <c r="I367" s="4" t="s">
        <v>601</v>
      </c>
      <c r="J367" s="4" t="s">
        <v>602</v>
      </c>
      <c r="K367" s="4"/>
      <c r="L367" s="4" t="s">
        <v>127</v>
      </c>
      <c r="M367" s="3" t="str">
        <f>IF(H367 = "","",MONTH(H367))</f>
        <v/>
      </c>
      <c r="N367" s="3" t="str">
        <f>IF(H367 = "","",YEAR(H367))</f>
        <v/>
      </c>
      <c r="O367" s="6" t="str">
        <f t="shared" si="29"/>
        <v>-</v>
      </c>
      <c r="P367" s="6" t="str">
        <f t="shared" si="30"/>
        <v>-</v>
      </c>
      <c r="Q367" s="6" t="str">
        <f t="shared" si="31"/>
        <v>-</v>
      </c>
      <c r="R367" s="6" t="str">
        <f t="shared" si="32"/>
        <v>-</v>
      </c>
      <c r="S367" s="6" t="str">
        <f t="shared" si="33"/>
        <v>-</v>
      </c>
    </row>
    <row r="368" spans="1:19" ht="14.1" customHeight="1" thickBot="1" x14ac:dyDescent="0.25">
      <c r="A368" s="4" t="str">
        <f>"0411"</f>
        <v>0411</v>
      </c>
      <c r="B368" s="4"/>
      <c r="C368" s="4"/>
      <c r="D368" s="4"/>
      <c r="E368" s="4"/>
      <c r="F368" s="4"/>
      <c r="G368" s="4"/>
      <c r="H368" s="4"/>
      <c r="I368" s="4"/>
      <c r="J368" s="4" t="s">
        <v>603</v>
      </c>
      <c r="K368" s="4" t="s">
        <v>481</v>
      </c>
      <c r="L368" s="4" t="str">
        <f>"1"</f>
        <v>1</v>
      </c>
      <c r="M368" s="3" t="str">
        <f>IF(H368 = "","",MONTH(H368))</f>
        <v/>
      </c>
      <c r="N368" s="3" t="str">
        <f>IF(H368 = "","",YEAR(H368))</f>
        <v/>
      </c>
      <c r="O368" s="6" t="str">
        <f t="shared" si="29"/>
        <v>-</v>
      </c>
      <c r="P368" s="6" t="str">
        <f t="shared" si="30"/>
        <v>-</v>
      </c>
      <c r="Q368" s="6" t="str">
        <f t="shared" si="31"/>
        <v>-</v>
      </c>
      <c r="R368" s="6" t="str">
        <f t="shared" si="32"/>
        <v>-</v>
      </c>
      <c r="S368" s="6" t="str">
        <f t="shared" si="33"/>
        <v>-</v>
      </c>
    </row>
    <row r="369" spans="1:19" ht="14.1" customHeight="1" thickBot="1" x14ac:dyDescent="0.25">
      <c r="A369" s="4" t="str">
        <f>"0527"</f>
        <v>0527</v>
      </c>
      <c r="B369" s="4"/>
      <c r="C369" s="4"/>
      <c r="D369" s="4"/>
      <c r="E369" s="4"/>
      <c r="F369" s="4"/>
      <c r="G369" s="4"/>
      <c r="H369" s="4"/>
      <c r="I369" s="4" t="s">
        <v>604</v>
      </c>
      <c r="J369" s="4" t="s">
        <v>605</v>
      </c>
      <c r="K369" s="4" t="s">
        <v>39</v>
      </c>
      <c r="L369" s="4" t="str">
        <f>"0"</f>
        <v>0</v>
      </c>
      <c r="M369" s="3" t="str">
        <f>IF(H369 = "","",MONTH(H369))</f>
        <v/>
      </c>
      <c r="N369" s="3" t="str">
        <f>IF(H369 = "","",YEAR(H369))</f>
        <v/>
      </c>
      <c r="O369" s="6" t="str">
        <f t="shared" si="29"/>
        <v>-</v>
      </c>
      <c r="P369" s="6" t="str">
        <f t="shared" si="30"/>
        <v>-</v>
      </c>
      <c r="Q369" s="6" t="str">
        <f t="shared" si="31"/>
        <v>-</v>
      </c>
      <c r="R369" s="6" t="str">
        <f t="shared" si="32"/>
        <v>-</v>
      </c>
      <c r="S369" s="6" t="str">
        <f t="shared" si="33"/>
        <v>-</v>
      </c>
    </row>
    <row r="370" spans="1:19" ht="14.1" customHeight="1" thickBot="1" x14ac:dyDescent="0.25">
      <c r="A370" s="4" t="str">
        <f>"0711"</f>
        <v>0711</v>
      </c>
      <c r="B370" s="4"/>
      <c r="C370" s="4"/>
      <c r="D370" s="4"/>
      <c r="E370" s="4"/>
      <c r="F370" s="4"/>
      <c r="G370" s="4"/>
      <c r="H370" s="4"/>
      <c r="I370" s="4"/>
      <c r="J370" s="4"/>
      <c r="K370" s="4" t="s">
        <v>464</v>
      </c>
      <c r="L370" s="4" t="str">
        <f>"0"</f>
        <v>0</v>
      </c>
      <c r="M370" s="3" t="str">
        <f>IF(H370 = "","",MONTH(H370))</f>
        <v/>
      </c>
      <c r="N370" s="3" t="str">
        <f>IF(H370 = "","",YEAR(H370))</f>
        <v/>
      </c>
      <c r="O370" s="6" t="str">
        <f t="shared" si="29"/>
        <v>-</v>
      </c>
      <c r="P370" s="6" t="str">
        <f t="shared" si="30"/>
        <v>-</v>
      </c>
      <c r="Q370" s="6" t="str">
        <f t="shared" si="31"/>
        <v>-</v>
      </c>
      <c r="R370" s="6" t="str">
        <f t="shared" si="32"/>
        <v>-</v>
      </c>
      <c r="S370" s="6" t="str">
        <f t="shared" si="33"/>
        <v>-</v>
      </c>
    </row>
    <row r="371" spans="1:19" ht="14.1" customHeight="1" thickBot="1" x14ac:dyDescent="0.25">
      <c r="A371" s="4" t="str">
        <f>"0704"</f>
        <v>0704</v>
      </c>
      <c r="B371" s="4"/>
      <c r="C371" s="4"/>
      <c r="D371" s="4"/>
      <c r="E371" s="4"/>
      <c r="F371" s="4"/>
      <c r="G371" s="4"/>
      <c r="H371" s="4"/>
      <c r="I371" s="4"/>
      <c r="J371" s="4" t="s">
        <v>606</v>
      </c>
      <c r="K371" s="4" t="s">
        <v>607</v>
      </c>
      <c r="L371" s="4" t="str">
        <f>"0"</f>
        <v>0</v>
      </c>
      <c r="M371" s="3" t="str">
        <f>IF(H371 = "","",MONTH(H371))</f>
        <v/>
      </c>
      <c r="N371" s="3" t="str">
        <f>IF(H371 = "","",YEAR(H371))</f>
        <v/>
      </c>
      <c r="O371" s="6" t="str">
        <f t="shared" si="29"/>
        <v>-</v>
      </c>
      <c r="P371" s="6" t="str">
        <f t="shared" si="30"/>
        <v>-</v>
      </c>
      <c r="Q371" s="6" t="str">
        <f t="shared" si="31"/>
        <v>-</v>
      </c>
      <c r="R371" s="6" t="str">
        <f t="shared" si="32"/>
        <v>-</v>
      </c>
      <c r="S371" s="6" t="str">
        <f t="shared" si="33"/>
        <v>-</v>
      </c>
    </row>
    <row r="372" spans="1:19" ht="14.1" customHeight="1" thickBot="1" x14ac:dyDescent="0.25">
      <c r="A372" s="4" t="str">
        <f>"0503"</f>
        <v>0503</v>
      </c>
      <c r="B372" s="4"/>
      <c r="C372" s="4"/>
      <c r="D372" s="4"/>
      <c r="E372" s="4"/>
      <c r="F372" s="4"/>
      <c r="G372" s="4"/>
      <c r="H372" s="4"/>
      <c r="I372" s="4"/>
      <c r="J372" s="4" t="s">
        <v>608</v>
      </c>
      <c r="K372" s="4" t="s">
        <v>39</v>
      </c>
      <c r="L372" s="4" t="str">
        <f>"1"</f>
        <v>1</v>
      </c>
      <c r="M372" s="3" t="str">
        <f>IF(H372 = "","",MONTH(H372))</f>
        <v/>
      </c>
      <c r="N372" s="3" t="str">
        <f>IF(H372 = "","",YEAR(H372))</f>
        <v/>
      </c>
      <c r="O372" s="6" t="str">
        <f t="shared" si="29"/>
        <v>-</v>
      </c>
      <c r="P372" s="6" t="str">
        <f t="shared" si="30"/>
        <v>-</v>
      </c>
      <c r="Q372" s="6" t="str">
        <f t="shared" si="31"/>
        <v>-</v>
      </c>
      <c r="R372" s="6" t="str">
        <f t="shared" si="32"/>
        <v>-</v>
      </c>
      <c r="S372" s="6" t="str">
        <f t="shared" si="33"/>
        <v>-</v>
      </c>
    </row>
    <row r="373" spans="1:19" ht="14.1" customHeight="1" thickBot="1" x14ac:dyDescent="0.25">
      <c r="A373" s="4" t="str">
        <f>"0228"</f>
        <v>0228</v>
      </c>
      <c r="B373" s="4"/>
      <c r="C373" s="4"/>
      <c r="D373" s="4" t="str">
        <f>"02026"</f>
        <v>02026</v>
      </c>
      <c r="E373" s="4"/>
      <c r="F373" s="4"/>
      <c r="G373" s="4"/>
      <c r="H373" s="4"/>
      <c r="I373" s="4" t="s">
        <v>609</v>
      </c>
      <c r="J373" s="4" t="s">
        <v>610</v>
      </c>
      <c r="K373" s="4" t="s">
        <v>90</v>
      </c>
      <c r="L373" s="4" t="s">
        <v>21</v>
      </c>
      <c r="M373" s="3" t="str">
        <f>IF(H373 = "","",MONTH(H373))</f>
        <v/>
      </c>
      <c r="N373" s="3" t="str">
        <f>IF(H373 = "","",YEAR(H373))</f>
        <v/>
      </c>
      <c r="O373" s="6" t="str">
        <f t="shared" si="29"/>
        <v>-</v>
      </c>
      <c r="P373" s="6" t="str">
        <f t="shared" si="30"/>
        <v>-</v>
      </c>
      <c r="Q373" s="6" t="str">
        <f t="shared" si="31"/>
        <v>-</v>
      </c>
      <c r="R373" s="6" t="str">
        <f t="shared" si="32"/>
        <v>-</v>
      </c>
      <c r="S373" s="6" t="str">
        <f t="shared" si="33"/>
        <v>-</v>
      </c>
    </row>
    <row r="374" spans="1:19" ht="14.1" customHeight="1" thickBot="1" x14ac:dyDescent="0.25">
      <c r="A374" s="4" t="str">
        <f>"0005"</f>
        <v>0005</v>
      </c>
      <c r="B374" s="4"/>
      <c r="C374" s="4"/>
      <c r="D374" s="4" t="str">
        <f>"00005"</f>
        <v>00005</v>
      </c>
      <c r="E374" s="4"/>
      <c r="F374" s="4"/>
      <c r="G374" s="4"/>
      <c r="H374" s="4"/>
      <c r="I374" s="4" t="s">
        <v>611</v>
      </c>
      <c r="J374" s="4" t="s">
        <v>612</v>
      </c>
      <c r="K374" s="4" t="s">
        <v>362</v>
      </c>
      <c r="L374" s="4" t="s">
        <v>21</v>
      </c>
      <c r="M374" s="3" t="str">
        <f>IF(H374 = "","",MONTH(H374))</f>
        <v/>
      </c>
      <c r="N374" s="3" t="str">
        <f>IF(H374 = "","",YEAR(H374))</f>
        <v/>
      </c>
      <c r="O374" s="6" t="str">
        <f t="shared" si="29"/>
        <v>-</v>
      </c>
      <c r="P374" s="6" t="str">
        <f t="shared" si="30"/>
        <v>-</v>
      </c>
      <c r="Q374" s="6" t="str">
        <f t="shared" si="31"/>
        <v>-</v>
      </c>
      <c r="R374" s="6" t="str">
        <f t="shared" si="32"/>
        <v>-</v>
      </c>
      <c r="S374" s="6" t="str">
        <f t="shared" si="33"/>
        <v>-</v>
      </c>
    </row>
    <row r="375" spans="1:19" ht="14.1" customHeight="1" thickBot="1" x14ac:dyDescent="0.25">
      <c r="A375" s="4" t="str">
        <f>"0302"</f>
        <v>0302</v>
      </c>
      <c r="B375" s="4"/>
      <c r="C375" s="4"/>
      <c r="D375" s="4"/>
      <c r="E375" s="4"/>
      <c r="F375" s="4"/>
      <c r="G375" s="4"/>
      <c r="H375" s="4"/>
      <c r="I375" s="4"/>
      <c r="J375" s="4"/>
      <c r="K375" s="4" t="s">
        <v>613</v>
      </c>
      <c r="L375" s="4" t="str">
        <f>"0"</f>
        <v>0</v>
      </c>
      <c r="M375" s="3" t="str">
        <f>IF(H375 = "","",MONTH(H375))</f>
        <v/>
      </c>
      <c r="N375" s="3" t="str">
        <f>IF(H375 = "","",YEAR(H375))</f>
        <v/>
      </c>
      <c r="O375" s="6" t="str">
        <f t="shared" si="29"/>
        <v>-</v>
      </c>
      <c r="P375" s="6" t="str">
        <f t="shared" si="30"/>
        <v>-</v>
      </c>
      <c r="Q375" s="6" t="str">
        <f t="shared" si="31"/>
        <v>-</v>
      </c>
      <c r="R375" s="6" t="str">
        <f t="shared" si="32"/>
        <v>-</v>
      </c>
      <c r="S375" s="6" t="str">
        <f t="shared" si="33"/>
        <v>-</v>
      </c>
    </row>
    <row r="376" spans="1:19" ht="14.1" customHeight="1" thickBot="1" x14ac:dyDescent="0.25">
      <c r="A376" s="4" t="str">
        <f>"0337"</f>
        <v>0337</v>
      </c>
      <c r="B376" s="4"/>
      <c r="C376" s="4"/>
      <c r="D376" s="4" t="str">
        <f>"03001"</f>
        <v>03001</v>
      </c>
      <c r="E376" s="4"/>
      <c r="F376" s="4"/>
      <c r="G376" s="4"/>
      <c r="H376" s="4"/>
      <c r="I376" s="4" t="s">
        <v>614</v>
      </c>
      <c r="J376" s="4" t="s">
        <v>615</v>
      </c>
      <c r="K376" s="4"/>
      <c r="L376" s="4" t="s">
        <v>127</v>
      </c>
      <c r="M376" s="3" t="str">
        <f>IF(H376 = "","",MONTH(H376))</f>
        <v/>
      </c>
      <c r="N376" s="3" t="str">
        <f>IF(H376 = "","",YEAR(H376))</f>
        <v/>
      </c>
      <c r="O376" s="6" t="str">
        <f t="shared" si="29"/>
        <v>-</v>
      </c>
      <c r="P376" s="6" t="str">
        <f t="shared" si="30"/>
        <v>-</v>
      </c>
      <c r="Q376" s="6" t="str">
        <f t="shared" si="31"/>
        <v>-</v>
      </c>
      <c r="R376" s="6" t="str">
        <f t="shared" si="32"/>
        <v>-</v>
      </c>
      <c r="S376" s="6" t="str">
        <f t="shared" si="33"/>
        <v>-</v>
      </c>
    </row>
    <row r="377" spans="1:19" ht="14.1" customHeight="1" thickBot="1" x14ac:dyDescent="0.25">
      <c r="A377" s="4" t="str">
        <f>"0102"</f>
        <v>0102</v>
      </c>
      <c r="B377" s="4"/>
      <c r="C377" s="4"/>
      <c r="D377" s="4" t="str">
        <f>"01002"</f>
        <v>01002</v>
      </c>
      <c r="E377" s="4"/>
      <c r="F377" s="4"/>
      <c r="G377" s="4"/>
      <c r="H377" s="4"/>
      <c r="I377" s="4" t="s">
        <v>616</v>
      </c>
      <c r="J377" s="4" t="s">
        <v>617</v>
      </c>
      <c r="K377" s="4" t="s">
        <v>90</v>
      </c>
      <c r="L377" s="4" t="s">
        <v>21</v>
      </c>
      <c r="M377" s="3" t="str">
        <f>IF(H377 = "","",MONTH(H377))</f>
        <v/>
      </c>
      <c r="N377" s="3" t="str">
        <f>IF(H377 = "","",YEAR(H377))</f>
        <v/>
      </c>
      <c r="O377" s="6" t="str">
        <f t="shared" si="29"/>
        <v>-</v>
      </c>
      <c r="P377" s="6" t="str">
        <f t="shared" si="30"/>
        <v>-</v>
      </c>
      <c r="Q377" s="6" t="str">
        <f t="shared" si="31"/>
        <v>-</v>
      </c>
      <c r="R377" s="6" t="str">
        <f t="shared" si="32"/>
        <v>-</v>
      </c>
      <c r="S377" s="6" t="str">
        <f t="shared" si="33"/>
        <v>-</v>
      </c>
    </row>
    <row r="378" spans="1:19" ht="14.1" customHeight="1" thickBot="1" x14ac:dyDescent="0.25">
      <c r="A378" s="4" t="str">
        <f>"0421"</f>
        <v>0421</v>
      </c>
      <c r="B378" s="4"/>
      <c r="C378" s="4"/>
      <c r="D378" s="4" t="str">
        <f>"04011"</f>
        <v>04011</v>
      </c>
      <c r="E378" s="4"/>
      <c r="F378" s="4"/>
      <c r="G378" s="4"/>
      <c r="H378" s="4"/>
      <c r="I378" s="4" t="s">
        <v>618</v>
      </c>
      <c r="J378" s="4" t="s">
        <v>439</v>
      </c>
      <c r="K378" s="4" t="s">
        <v>569</v>
      </c>
      <c r="L378" s="4" t="s">
        <v>21</v>
      </c>
      <c r="M378" s="3" t="str">
        <f>IF(H378 = "","",MONTH(H378))</f>
        <v/>
      </c>
      <c r="N378" s="3" t="str">
        <f>IF(H378 = "","",YEAR(H378))</f>
        <v/>
      </c>
      <c r="O378" s="6" t="str">
        <f t="shared" si="29"/>
        <v>-</v>
      </c>
      <c r="P378" s="6" t="str">
        <f t="shared" si="30"/>
        <v>-</v>
      </c>
      <c r="Q378" s="6" t="str">
        <f t="shared" si="31"/>
        <v>-</v>
      </c>
      <c r="R378" s="6" t="str">
        <f t="shared" si="32"/>
        <v>-</v>
      </c>
      <c r="S378" s="6" t="str">
        <f t="shared" si="33"/>
        <v>-</v>
      </c>
    </row>
    <row r="379" spans="1:19" ht="14.1" customHeight="1" thickBot="1" x14ac:dyDescent="0.25">
      <c r="A379" s="4" t="str">
        <f>"0419"</f>
        <v>0419</v>
      </c>
      <c r="B379" s="4"/>
      <c r="C379" s="4"/>
      <c r="D379" s="4"/>
      <c r="E379" s="4"/>
      <c r="F379" s="4"/>
      <c r="G379" s="4"/>
      <c r="H379" s="4"/>
      <c r="I379" s="4"/>
      <c r="J379" s="4" t="s">
        <v>619</v>
      </c>
      <c r="K379" s="4"/>
      <c r="L379" s="4" t="str">
        <f>"0"</f>
        <v>0</v>
      </c>
      <c r="M379" s="3" t="str">
        <f>IF(H379 = "","",MONTH(H379))</f>
        <v/>
      </c>
      <c r="N379" s="3" t="str">
        <f>IF(H379 = "","",YEAR(H379))</f>
        <v/>
      </c>
      <c r="O379" s="6" t="str">
        <f t="shared" si="29"/>
        <v>-</v>
      </c>
      <c r="P379" s="6" t="str">
        <f t="shared" si="30"/>
        <v>-</v>
      </c>
      <c r="Q379" s="6" t="str">
        <f t="shared" si="31"/>
        <v>-</v>
      </c>
      <c r="R379" s="6" t="str">
        <f t="shared" si="32"/>
        <v>-</v>
      </c>
      <c r="S379" s="6" t="str">
        <f t="shared" si="33"/>
        <v>-</v>
      </c>
    </row>
    <row r="380" spans="1:19" ht="14.1" customHeight="1" thickBot="1" x14ac:dyDescent="0.25">
      <c r="A380" s="4" t="str">
        <f>"0706"</f>
        <v>0706</v>
      </c>
      <c r="B380" s="4"/>
      <c r="C380" s="4"/>
      <c r="D380" s="4"/>
      <c r="E380" s="5">
        <v>39576</v>
      </c>
      <c r="F380" s="5">
        <v>39644</v>
      </c>
      <c r="G380" s="5">
        <v>40001</v>
      </c>
      <c r="H380" s="5">
        <v>40861</v>
      </c>
      <c r="I380" s="4" t="s">
        <v>620</v>
      </c>
      <c r="J380" s="4" t="s">
        <v>621</v>
      </c>
      <c r="K380" s="4" t="s">
        <v>39</v>
      </c>
      <c r="L380" s="4" t="s">
        <v>21</v>
      </c>
      <c r="M380" s="3">
        <f>IF(H380 = "","",MONTH(H380))</f>
        <v>11</v>
      </c>
      <c r="N380" s="3">
        <f>IF(H380 = "","",YEAR(H380))</f>
        <v>2011</v>
      </c>
      <c r="O380" s="6" t="str">
        <f t="shared" si="29"/>
        <v>-</v>
      </c>
      <c r="P380" s="6" t="str">
        <f t="shared" si="30"/>
        <v>-</v>
      </c>
      <c r="Q380" s="6">
        <f t="shared" si="31"/>
        <v>67</v>
      </c>
      <c r="R380" s="6">
        <f t="shared" si="32"/>
        <v>419</v>
      </c>
      <c r="S380" s="6">
        <f t="shared" si="33"/>
        <v>1266</v>
      </c>
    </row>
    <row r="381" spans="1:19" ht="14.1" customHeight="1" thickBot="1" x14ac:dyDescent="0.25">
      <c r="A381" s="4" t="str">
        <f>"0229"</f>
        <v>0229</v>
      </c>
      <c r="B381" s="4"/>
      <c r="C381" s="4"/>
      <c r="D381" s="4" t="str">
        <f>"02029"</f>
        <v>02029</v>
      </c>
      <c r="E381" s="4"/>
      <c r="F381" s="4"/>
      <c r="G381" s="4"/>
      <c r="H381" s="4"/>
      <c r="I381" s="4" t="s">
        <v>622</v>
      </c>
      <c r="J381" s="4" t="s">
        <v>623</v>
      </c>
      <c r="K381" s="4"/>
      <c r="L381" s="4" t="s">
        <v>624</v>
      </c>
      <c r="M381" s="3" t="str">
        <f>IF(H381 = "","",MONTH(H381))</f>
        <v/>
      </c>
      <c r="N381" s="3" t="str">
        <f>IF(H381 = "","",YEAR(H381))</f>
        <v/>
      </c>
      <c r="O381" s="6" t="str">
        <f t="shared" si="29"/>
        <v>-</v>
      </c>
      <c r="P381" s="6" t="str">
        <f t="shared" si="30"/>
        <v>-</v>
      </c>
      <c r="Q381" s="6" t="str">
        <f t="shared" si="31"/>
        <v>-</v>
      </c>
      <c r="R381" s="6" t="str">
        <f t="shared" si="32"/>
        <v>-</v>
      </c>
      <c r="S381" s="6" t="str">
        <f t="shared" si="33"/>
        <v>-</v>
      </c>
    </row>
    <row r="382" spans="1:19" ht="14.1" customHeight="1" thickBot="1" x14ac:dyDescent="0.25">
      <c r="A382" s="4" t="str">
        <f>"0001"</f>
        <v>0001</v>
      </c>
      <c r="B382" s="4"/>
      <c r="C382" s="4"/>
      <c r="D382" s="4" t="str">
        <f>"00001"</f>
        <v>00001</v>
      </c>
      <c r="E382" s="4"/>
      <c r="F382" s="4"/>
      <c r="G382" s="4"/>
      <c r="H382" s="4"/>
      <c r="I382" s="4" t="s">
        <v>625</v>
      </c>
      <c r="J382" s="4" t="s">
        <v>573</v>
      </c>
      <c r="K382" s="4" t="s">
        <v>90</v>
      </c>
      <c r="L382" s="4" t="s">
        <v>21</v>
      </c>
      <c r="M382" s="3" t="str">
        <f>IF(H382 = "","",MONTH(H382))</f>
        <v/>
      </c>
      <c r="N382" s="3" t="str">
        <f>IF(H382 = "","",YEAR(H382))</f>
        <v/>
      </c>
      <c r="O382" s="6" t="str">
        <f t="shared" si="29"/>
        <v>-</v>
      </c>
      <c r="P382" s="6" t="str">
        <f t="shared" si="30"/>
        <v>-</v>
      </c>
      <c r="Q382" s="6" t="str">
        <f t="shared" si="31"/>
        <v>-</v>
      </c>
      <c r="R382" s="6" t="str">
        <f t="shared" si="32"/>
        <v>-</v>
      </c>
      <c r="S382" s="6" t="str">
        <f t="shared" si="33"/>
        <v>-</v>
      </c>
    </row>
    <row r="383" spans="1:19" ht="14.1" customHeight="1" thickBot="1" x14ac:dyDescent="0.25">
      <c r="A383" s="4" t="str">
        <f>"0339"</f>
        <v>0339</v>
      </c>
      <c r="B383" s="4"/>
      <c r="C383" s="4"/>
      <c r="D383" s="4" t="str">
        <f>"03003"</f>
        <v>03003</v>
      </c>
      <c r="E383" s="4"/>
      <c r="F383" s="4"/>
      <c r="G383" s="4"/>
      <c r="H383" s="4"/>
      <c r="I383" s="4" t="s">
        <v>626</v>
      </c>
      <c r="J383" s="4" t="s">
        <v>627</v>
      </c>
      <c r="K383" s="4"/>
      <c r="L383" s="4" t="s">
        <v>127</v>
      </c>
      <c r="M383" s="3" t="str">
        <f>IF(H383 = "","",MONTH(H383))</f>
        <v/>
      </c>
      <c r="N383" s="3" t="str">
        <f>IF(H383 = "","",YEAR(H383))</f>
        <v/>
      </c>
      <c r="O383" s="6" t="str">
        <f t="shared" si="29"/>
        <v>-</v>
      </c>
      <c r="P383" s="6" t="str">
        <f t="shared" si="30"/>
        <v>-</v>
      </c>
      <c r="Q383" s="6" t="str">
        <f t="shared" si="31"/>
        <v>-</v>
      </c>
      <c r="R383" s="6" t="str">
        <f t="shared" si="32"/>
        <v>-</v>
      </c>
      <c r="S383" s="6" t="str">
        <f t="shared" si="33"/>
        <v>-</v>
      </c>
    </row>
    <row r="384" spans="1:19" ht="14.1" customHeight="1" thickBot="1" x14ac:dyDescent="0.25">
      <c r="A384" s="4" t="str">
        <f>"0109"</f>
        <v>0109</v>
      </c>
      <c r="B384" s="4"/>
      <c r="C384" s="4"/>
      <c r="D384" s="4" t="str">
        <f>"01009"</f>
        <v>01009</v>
      </c>
      <c r="E384" s="4"/>
      <c r="F384" s="4"/>
      <c r="G384" s="4"/>
      <c r="H384" s="4"/>
      <c r="I384" s="4" t="s">
        <v>628</v>
      </c>
      <c r="J384" s="4" t="s">
        <v>629</v>
      </c>
      <c r="K384" s="4" t="s">
        <v>511</v>
      </c>
      <c r="L384" s="4" t="s">
        <v>21</v>
      </c>
      <c r="M384" s="3" t="str">
        <f>IF(H384 = "","",MONTH(H384))</f>
        <v/>
      </c>
      <c r="N384" s="3" t="str">
        <f>IF(H384 = "","",YEAR(H384))</f>
        <v/>
      </c>
      <c r="O384" s="6" t="str">
        <f t="shared" si="29"/>
        <v>-</v>
      </c>
      <c r="P384" s="6" t="str">
        <f t="shared" si="30"/>
        <v>-</v>
      </c>
      <c r="Q384" s="6" t="str">
        <f t="shared" si="31"/>
        <v>-</v>
      </c>
      <c r="R384" s="6" t="str">
        <f t="shared" si="32"/>
        <v>-</v>
      </c>
      <c r="S384" s="6" t="str">
        <f t="shared" si="33"/>
        <v>-</v>
      </c>
    </row>
    <row r="385" spans="1:19" ht="14.1" customHeight="1" thickBot="1" x14ac:dyDescent="0.25">
      <c r="A385" s="4" t="str">
        <f>"0304"</f>
        <v>0304</v>
      </c>
      <c r="B385" s="4"/>
      <c r="C385" s="4"/>
      <c r="D385" s="4"/>
      <c r="E385" s="4"/>
      <c r="F385" s="4"/>
      <c r="G385" s="4"/>
      <c r="H385" s="4"/>
      <c r="I385" s="4"/>
      <c r="J385" s="4"/>
      <c r="K385" s="4" t="s">
        <v>630</v>
      </c>
      <c r="L385" s="4" t="str">
        <f>"0"</f>
        <v>0</v>
      </c>
      <c r="M385" s="3" t="str">
        <f>IF(H385 = "","",MONTH(H385))</f>
        <v/>
      </c>
      <c r="N385" s="3" t="str">
        <f>IF(H385 = "","",YEAR(H385))</f>
        <v/>
      </c>
      <c r="O385" s="6" t="str">
        <f t="shared" si="29"/>
        <v>-</v>
      </c>
      <c r="P385" s="6" t="str">
        <f t="shared" si="30"/>
        <v>-</v>
      </c>
      <c r="Q385" s="6" t="str">
        <f t="shared" si="31"/>
        <v>-</v>
      </c>
      <c r="R385" s="6" t="str">
        <f t="shared" si="32"/>
        <v>-</v>
      </c>
      <c r="S385" s="6" t="str">
        <f t="shared" si="33"/>
        <v>-</v>
      </c>
    </row>
    <row r="386" spans="1:19" ht="14.1" customHeight="1" thickBot="1" x14ac:dyDescent="0.25">
      <c r="A386" s="4" t="str">
        <f>"0010"</f>
        <v>0010</v>
      </c>
      <c r="B386" s="4"/>
      <c r="C386" s="4"/>
      <c r="D386" s="4" t="str">
        <f>"00010"</f>
        <v>00010</v>
      </c>
      <c r="E386" s="4"/>
      <c r="F386" s="4"/>
      <c r="G386" s="4"/>
      <c r="H386" s="4"/>
      <c r="I386" s="4" t="s">
        <v>631</v>
      </c>
      <c r="J386" s="4" t="s">
        <v>632</v>
      </c>
      <c r="K386" s="4" t="s">
        <v>39</v>
      </c>
      <c r="L386" s="4" t="s">
        <v>21</v>
      </c>
      <c r="M386" s="3" t="str">
        <f>IF(H386 = "","",MONTH(H386))</f>
        <v/>
      </c>
      <c r="N386" s="3" t="str">
        <f>IF(H386 = "","",YEAR(H386))</f>
        <v/>
      </c>
      <c r="O386" s="6" t="str">
        <f t="shared" si="29"/>
        <v>-</v>
      </c>
      <c r="P386" s="6" t="str">
        <f t="shared" si="30"/>
        <v>-</v>
      </c>
      <c r="Q386" s="6" t="str">
        <f t="shared" si="31"/>
        <v>-</v>
      </c>
      <c r="R386" s="6" t="str">
        <f t="shared" si="32"/>
        <v>-</v>
      </c>
      <c r="S386" s="6" t="str">
        <f t="shared" si="33"/>
        <v>-</v>
      </c>
    </row>
    <row r="387" spans="1:19" ht="14.1" customHeight="1" thickBot="1" x14ac:dyDescent="0.25">
      <c r="A387" s="4" t="str">
        <f>"0488"</f>
        <v>0488</v>
      </c>
      <c r="B387" s="4"/>
      <c r="C387" s="4"/>
      <c r="D387" s="4" t="str">
        <f>"04006"</f>
        <v>04006</v>
      </c>
      <c r="E387" s="4"/>
      <c r="F387" s="4"/>
      <c r="G387" s="4"/>
      <c r="H387" s="4"/>
      <c r="I387" s="4" t="s">
        <v>633</v>
      </c>
      <c r="J387" s="4" t="s">
        <v>634</v>
      </c>
      <c r="K387" s="4" t="s">
        <v>90</v>
      </c>
      <c r="L387" s="4" t="s">
        <v>21</v>
      </c>
      <c r="M387" s="3" t="str">
        <f>IF(H387 = "","",MONTH(H387))</f>
        <v/>
      </c>
      <c r="N387" s="3" t="str">
        <f>IF(H387 = "","",YEAR(H387))</f>
        <v/>
      </c>
      <c r="O387" s="6" t="str">
        <f t="shared" si="29"/>
        <v>-</v>
      </c>
      <c r="P387" s="6" t="str">
        <f t="shared" si="30"/>
        <v>-</v>
      </c>
      <c r="Q387" s="6" t="str">
        <f t="shared" si="31"/>
        <v>-</v>
      </c>
      <c r="R387" s="6" t="str">
        <f t="shared" si="32"/>
        <v>-</v>
      </c>
      <c r="S387" s="6" t="str">
        <f t="shared" si="33"/>
        <v>-</v>
      </c>
    </row>
    <row r="388" spans="1:19" ht="14.1" customHeight="1" thickBot="1" x14ac:dyDescent="0.25">
      <c r="A388" s="4" t="str">
        <f>"0430"</f>
        <v>0430</v>
      </c>
      <c r="B388" s="4"/>
      <c r="C388" s="4"/>
      <c r="D388" s="4" t="str">
        <f>"04019"</f>
        <v>04019</v>
      </c>
      <c r="E388" s="4"/>
      <c r="F388" s="4"/>
      <c r="G388" s="4"/>
      <c r="H388" s="4"/>
      <c r="I388" s="4" t="s">
        <v>635</v>
      </c>
      <c r="J388" s="4" t="s">
        <v>418</v>
      </c>
      <c r="K388" s="4"/>
      <c r="L388" s="4" t="s">
        <v>21</v>
      </c>
      <c r="M388" s="3" t="str">
        <f>IF(H388 = "","",MONTH(H388))</f>
        <v/>
      </c>
      <c r="N388" s="3" t="str">
        <f>IF(H388 = "","",YEAR(H388))</f>
        <v/>
      </c>
      <c r="O388" s="6" t="str">
        <f t="shared" si="29"/>
        <v>-</v>
      </c>
      <c r="P388" s="6" t="str">
        <f t="shared" si="30"/>
        <v>-</v>
      </c>
      <c r="Q388" s="6" t="str">
        <f t="shared" si="31"/>
        <v>-</v>
      </c>
      <c r="R388" s="6" t="str">
        <f t="shared" si="32"/>
        <v>-</v>
      </c>
      <c r="S388" s="6" t="str">
        <f t="shared" si="33"/>
        <v>-</v>
      </c>
    </row>
    <row r="389" spans="1:19" ht="14.1" customHeight="1" thickBot="1" x14ac:dyDescent="0.25">
      <c r="A389" s="4" t="str">
        <f>"0310"</f>
        <v>0310</v>
      </c>
      <c r="B389" s="4"/>
      <c r="C389" s="4"/>
      <c r="D389" s="4" t="str">
        <f>"03005"</f>
        <v>03005</v>
      </c>
      <c r="E389" s="4"/>
      <c r="F389" s="4"/>
      <c r="G389" s="4"/>
      <c r="H389" s="4"/>
      <c r="I389" s="4" t="s">
        <v>636</v>
      </c>
      <c r="J389" s="4" t="s">
        <v>637</v>
      </c>
      <c r="K389" s="4" t="s">
        <v>90</v>
      </c>
      <c r="L389" s="4" t="s">
        <v>21</v>
      </c>
      <c r="M389" s="3" t="str">
        <f>IF(H389 = "","",MONTH(H389))</f>
        <v/>
      </c>
      <c r="N389" s="3" t="str">
        <f>IF(H389 = "","",YEAR(H389))</f>
        <v/>
      </c>
      <c r="O389" s="6" t="str">
        <f t="shared" si="29"/>
        <v>-</v>
      </c>
      <c r="P389" s="6" t="str">
        <f t="shared" si="30"/>
        <v>-</v>
      </c>
      <c r="Q389" s="6" t="str">
        <f t="shared" si="31"/>
        <v>-</v>
      </c>
      <c r="R389" s="6" t="str">
        <f t="shared" si="32"/>
        <v>-</v>
      </c>
      <c r="S389" s="6" t="str">
        <f t="shared" si="33"/>
        <v>-</v>
      </c>
    </row>
    <row r="390" spans="1:19" ht="14.1" customHeight="1" thickBot="1" x14ac:dyDescent="0.25">
      <c r="A390" s="4" t="str">
        <f>"0110"</f>
        <v>0110</v>
      </c>
      <c r="B390" s="4"/>
      <c r="C390" s="4"/>
      <c r="D390" s="4" t="str">
        <f>"01010"</f>
        <v>01010</v>
      </c>
      <c r="E390" s="4"/>
      <c r="F390" s="4"/>
      <c r="G390" s="4"/>
      <c r="H390" s="4"/>
      <c r="I390" s="4" t="s">
        <v>638</v>
      </c>
      <c r="J390" s="4" t="s">
        <v>448</v>
      </c>
      <c r="K390" s="4" t="s">
        <v>90</v>
      </c>
      <c r="L390" s="4" t="s">
        <v>21</v>
      </c>
      <c r="M390" s="3" t="str">
        <f>IF(H390 = "","",MONTH(H390))</f>
        <v/>
      </c>
      <c r="N390" s="3" t="str">
        <f>IF(H390 = "","",YEAR(H390))</f>
        <v/>
      </c>
      <c r="O390" s="6" t="str">
        <f t="shared" si="29"/>
        <v>-</v>
      </c>
      <c r="P390" s="6" t="str">
        <f t="shared" si="30"/>
        <v>-</v>
      </c>
      <c r="Q390" s="6" t="str">
        <f t="shared" si="31"/>
        <v>-</v>
      </c>
      <c r="R390" s="6" t="str">
        <f t="shared" si="32"/>
        <v>-</v>
      </c>
      <c r="S390" s="6" t="str">
        <f t="shared" si="33"/>
        <v>-</v>
      </c>
    </row>
    <row r="391" spans="1:19" ht="14.1" customHeight="1" thickBot="1" x14ac:dyDescent="0.25">
      <c r="A391" s="4" t="str">
        <f>"0220"</f>
        <v>0220</v>
      </c>
      <c r="B391" s="4"/>
      <c r="C391" s="4"/>
      <c r="D391" s="4" t="str">
        <f>"02023"</f>
        <v>02023</v>
      </c>
      <c r="E391" s="4"/>
      <c r="F391" s="4"/>
      <c r="G391" s="4"/>
      <c r="H391" s="4"/>
      <c r="I391" s="4" t="s">
        <v>639</v>
      </c>
      <c r="J391" s="4"/>
      <c r="K391" s="4" t="s">
        <v>90</v>
      </c>
      <c r="L391" s="4" t="s">
        <v>21</v>
      </c>
      <c r="M391" s="3" t="str">
        <f>IF(H391 = "","",MONTH(H391))</f>
        <v/>
      </c>
      <c r="N391" s="3" t="str">
        <f>IF(H391 = "","",YEAR(H391))</f>
        <v/>
      </c>
      <c r="O391" s="6" t="str">
        <f t="shared" ref="O391:O414" si="34">IF(B391="","-",IF(E391="","-",DAYS360(B391,E391)))</f>
        <v>-</v>
      </c>
      <c r="P391" s="6" t="str">
        <f t="shared" ref="P391:P414" si="35">IF(C391="","-",IF(E391="","-",DAYS360(C391,E391)))</f>
        <v>-</v>
      </c>
      <c r="Q391" s="6" t="str">
        <f t="shared" ref="Q391:Q414" si="36">IF(E391="","-",IF(F391="","-",DAYS360(E391,F391)))</f>
        <v>-</v>
      </c>
      <c r="R391" s="6" t="str">
        <f t="shared" ref="R391:R414" si="37">IF(E391="","-",IF(G391="","-",DAYS360(E391,G391)))</f>
        <v>-</v>
      </c>
      <c r="S391" s="6" t="str">
        <f t="shared" ref="S391:S414" si="38">IF(E391="","-",IF(H391="","-",DAYS360(E391,H391)))</f>
        <v>-</v>
      </c>
    </row>
    <row r="392" spans="1:19" ht="14.1" customHeight="1" thickBot="1" x14ac:dyDescent="0.25">
      <c r="A392" s="4" t="str">
        <f>"0015"</f>
        <v>0015</v>
      </c>
      <c r="B392" s="4"/>
      <c r="C392" s="4"/>
      <c r="D392" s="4" t="str">
        <f>"00015"</f>
        <v>00015</v>
      </c>
      <c r="E392" s="4"/>
      <c r="F392" s="4"/>
      <c r="G392" s="4"/>
      <c r="H392" s="4"/>
      <c r="I392" s="4" t="s">
        <v>640</v>
      </c>
      <c r="J392" s="4" t="s">
        <v>418</v>
      </c>
      <c r="K392" s="4" t="s">
        <v>641</v>
      </c>
      <c r="L392" s="4" t="s">
        <v>21</v>
      </c>
      <c r="M392" s="3" t="str">
        <f>IF(H392 = "","",MONTH(H392))</f>
        <v/>
      </c>
      <c r="N392" s="3" t="str">
        <f>IF(H392 = "","",YEAR(H392))</f>
        <v/>
      </c>
      <c r="O392" s="6" t="str">
        <f t="shared" si="34"/>
        <v>-</v>
      </c>
      <c r="P392" s="6" t="str">
        <f t="shared" si="35"/>
        <v>-</v>
      </c>
      <c r="Q392" s="6" t="str">
        <f t="shared" si="36"/>
        <v>-</v>
      </c>
      <c r="R392" s="6" t="str">
        <f t="shared" si="37"/>
        <v>-</v>
      </c>
      <c r="S392" s="6" t="str">
        <f t="shared" si="38"/>
        <v>-</v>
      </c>
    </row>
    <row r="393" spans="1:19" ht="14.1" customHeight="1" thickBot="1" x14ac:dyDescent="0.25">
      <c r="A393" s="4" t="str">
        <f>"0330"</f>
        <v>0330</v>
      </c>
      <c r="B393" s="4"/>
      <c r="C393" s="4"/>
      <c r="D393" s="4" t="str">
        <f>"03015"</f>
        <v>03015</v>
      </c>
      <c r="E393" s="4"/>
      <c r="F393" s="4"/>
      <c r="G393" s="4"/>
      <c r="H393" s="4"/>
      <c r="I393" s="4" t="s">
        <v>642</v>
      </c>
      <c r="J393" s="4" t="s">
        <v>643</v>
      </c>
      <c r="K393" s="4" t="s">
        <v>90</v>
      </c>
      <c r="L393" s="4" t="s">
        <v>544</v>
      </c>
      <c r="M393" s="3" t="str">
        <f>IF(H393 = "","",MONTH(H393))</f>
        <v/>
      </c>
      <c r="N393" s="3" t="str">
        <f>IF(H393 = "","",YEAR(H393))</f>
        <v/>
      </c>
      <c r="O393" s="6" t="str">
        <f t="shared" si="34"/>
        <v>-</v>
      </c>
      <c r="P393" s="6" t="str">
        <f t="shared" si="35"/>
        <v>-</v>
      </c>
      <c r="Q393" s="6" t="str">
        <f t="shared" si="36"/>
        <v>-</v>
      </c>
      <c r="R393" s="6" t="str">
        <f t="shared" si="37"/>
        <v>-</v>
      </c>
      <c r="S393" s="6" t="str">
        <f t="shared" si="38"/>
        <v>-</v>
      </c>
    </row>
    <row r="394" spans="1:19" ht="14.1" customHeight="1" thickBot="1" x14ac:dyDescent="0.25">
      <c r="A394" s="4" t="str">
        <f>"0710"</f>
        <v>0710</v>
      </c>
      <c r="B394" s="4"/>
      <c r="C394" s="4"/>
      <c r="D394" s="4"/>
      <c r="E394" s="4"/>
      <c r="F394" s="4"/>
      <c r="G394" s="4"/>
      <c r="H394" s="4"/>
      <c r="I394" s="4"/>
      <c r="J394" s="4" t="s">
        <v>644</v>
      </c>
      <c r="K394" s="4" t="s">
        <v>39</v>
      </c>
      <c r="L394" s="4" t="str">
        <f>"0"</f>
        <v>0</v>
      </c>
      <c r="M394" s="3" t="str">
        <f>IF(H394 = "","",MONTH(H394))</f>
        <v/>
      </c>
      <c r="N394" s="3" t="str">
        <f>IF(H394 = "","",YEAR(H394))</f>
        <v/>
      </c>
      <c r="O394" s="6" t="str">
        <f t="shared" si="34"/>
        <v>-</v>
      </c>
      <c r="P394" s="6" t="str">
        <f t="shared" si="35"/>
        <v>-</v>
      </c>
      <c r="Q394" s="6" t="str">
        <f t="shared" si="36"/>
        <v>-</v>
      </c>
      <c r="R394" s="6" t="str">
        <f t="shared" si="37"/>
        <v>-</v>
      </c>
      <c r="S394" s="6" t="str">
        <f t="shared" si="38"/>
        <v>-</v>
      </c>
    </row>
    <row r="395" spans="1:19" ht="14.1" customHeight="1" thickBot="1" x14ac:dyDescent="0.25">
      <c r="A395" s="4" t="str">
        <f>"0208"</f>
        <v>0208</v>
      </c>
      <c r="B395" s="4"/>
      <c r="C395" s="4"/>
      <c r="D395" s="4" t="str">
        <f>"02008"</f>
        <v>02008</v>
      </c>
      <c r="E395" s="4"/>
      <c r="F395" s="4"/>
      <c r="G395" s="4"/>
      <c r="H395" s="4"/>
      <c r="I395" s="4" t="s">
        <v>645</v>
      </c>
      <c r="J395" s="4" t="s">
        <v>646</v>
      </c>
      <c r="K395" s="4" t="s">
        <v>39</v>
      </c>
      <c r="L395" s="4" t="s">
        <v>127</v>
      </c>
      <c r="M395" s="3" t="str">
        <f>IF(H395 = "","",MONTH(H395))</f>
        <v/>
      </c>
      <c r="N395" s="3" t="str">
        <f>IF(H395 = "","",YEAR(H395))</f>
        <v/>
      </c>
      <c r="O395" s="6" t="str">
        <f t="shared" si="34"/>
        <v>-</v>
      </c>
      <c r="P395" s="6" t="str">
        <f t="shared" si="35"/>
        <v>-</v>
      </c>
      <c r="Q395" s="6" t="str">
        <f t="shared" si="36"/>
        <v>-</v>
      </c>
      <c r="R395" s="6" t="str">
        <f t="shared" si="37"/>
        <v>-</v>
      </c>
      <c r="S395" s="6" t="str">
        <f t="shared" si="38"/>
        <v>-</v>
      </c>
    </row>
    <row r="396" spans="1:19" ht="14.1" customHeight="1" thickBot="1" x14ac:dyDescent="0.25">
      <c r="A396" s="4" t="str">
        <f>"0224"</f>
        <v>0224</v>
      </c>
      <c r="B396" s="4"/>
      <c r="C396" s="4"/>
      <c r="D396" s="4" t="str">
        <f>"02025"</f>
        <v>02025</v>
      </c>
      <c r="E396" s="4"/>
      <c r="F396" s="4"/>
      <c r="G396" s="4"/>
      <c r="H396" s="4"/>
      <c r="I396" s="4" t="s">
        <v>647</v>
      </c>
      <c r="J396" s="4" t="s">
        <v>588</v>
      </c>
      <c r="K396" s="4" t="s">
        <v>90</v>
      </c>
      <c r="L396" s="4" t="s">
        <v>127</v>
      </c>
      <c r="M396" s="3" t="str">
        <f>IF(H396 = "","",MONTH(H396))</f>
        <v/>
      </c>
      <c r="N396" s="3" t="str">
        <f>IF(H396 = "","",YEAR(H396))</f>
        <v/>
      </c>
      <c r="O396" s="6" t="str">
        <f t="shared" si="34"/>
        <v>-</v>
      </c>
      <c r="P396" s="6" t="str">
        <f t="shared" si="35"/>
        <v>-</v>
      </c>
      <c r="Q396" s="6" t="str">
        <f t="shared" si="36"/>
        <v>-</v>
      </c>
      <c r="R396" s="6" t="str">
        <f t="shared" si="37"/>
        <v>-</v>
      </c>
      <c r="S396" s="6" t="str">
        <f t="shared" si="38"/>
        <v>-</v>
      </c>
    </row>
    <row r="397" spans="1:19" ht="14.1" customHeight="1" thickBot="1" x14ac:dyDescent="0.25">
      <c r="A397" s="4" t="str">
        <f>"0004"</f>
        <v>0004</v>
      </c>
      <c r="B397" s="4"/>
      <c r="C397" s="4"/>
      <c r="D397" s="4" t="str">
        <f>"00004"</f>
        <v>00004</v>
      </c>
      <c r="E397" s="4"/>
      <c r="F397" s="4"/>
      <c r="G397" s="4"/>
      <c r="H397" s="4"/>
      <c r="I397" s="4" t="s">
        <v>648</v>
      </c>
      <c r="J397" s="4" t="s">
        <v>649</v>
      </c>
      <c r="K397" s="4" t="s">
        <v>582</v>
      </c>
      <c r="L397" s="4" t="s">
        <v>21</v>
      </c>
      <c r="M397" s="3" t="str">
        <f>IF(H397 = "","",MONTH(H397))</f>
        <v/>
      </c>
      <c r="N397" s="3" t="str">
        <f>IF(H397 = "","",YEAR(H397))</f>
        <v/>
      </c>
      <c r="O397" s="6" t="str">
        <f t="shared" si="34"/>
        <v>-</v>
      </c>
      <c r="P397" s="6" t="str">
        <f t="shared" si="35"/>
        <v>-</v>
      </c>
      <c r="Q397" s="6" t="str">
        <f t="shared" si="36"/>
        <v>-</v>
      </c>
      <c r="R397" s="6" t="str">
        <f t="shared" si="37"/>
        <v>-</v>
      </c>
      <c r="S397" s="6" t="str">
        <f t="shared" si="38"/>
        <v>-</v>
      </c>
    </row>
    <row r="398" spans="1:19" ht="14.1" customHeight="1" thickBot="1" x14ac:dyDescent="0.25">
      <c r="A398" s="4" t="str">
        <f>"0490"</f>
        <v>0490</v>
      </c>
      <c r="B398" s="4"/>
      <c r="C398" s="4"/>
      <c r="D398" s="4" t="str">
        <f>"04001"</f>
        <v>04001</v>
      </c>
      <c r="E398" s="4"/>
      <c r="F398" s="4"/>
      <c r="G398" s="4"/>
      <c r="H398" s="4"/>
      <c r="I398" s="4" t="s">
        <v>446</v>
      </c>
      <c r="J398" s="4" t="s">
        <v>650</v>
      </c>
      <c r="K398" s="4" t="s">
        <v>39</v>
      </c>
      <c r="L398" s="4" t="s">
        <v>162</v>
      </c>
      <c r="M398" s="3" t="str">
        <f>IF(H398 = "","",MONTH(H398))</f>
        <v/>
      </c>
      <c r="N398" s="3" t="str">
        <f>IF(H398 = "","",YEAR(H398))</f>
        <v/>
      </c>
      <c r="O398" s="6" t="str">
        <f t="shared" si="34"/>
        <v>-</v>
      </c>
      <c r="P398" s="6" t="str">
        <f t="shared" si="35"/>
        <v>-</v>
      </c>
      <c r="Q398" s="6" t="str">
        <f t="shared" si="36"/>
        <v>-</v>
      </c>
      <c r="R398" s="6" t="str">
        <f t="shared" si="37"/>
        <v>-</v>
      </c>
      <c r="S398" s="6" t="str">
        <f t="shared" si="38"/>
        <v>-</v>
      </c>
    </row>
    <row r="399" spans="1:19" ht="14.1" customHeight="1" thickBot="1" x14ac:dyDescent="0.25">
      <c r="A399" s="4" t="str">
        <f>"0299"</f>
        <v>0299</v>
      </c>
      <c r="B399" s="4"/>
      <c r="C399" s="4"/>
      <c r="D399" s="4" t="str">
        <f>"02003"</f>
        <v>02003</v>
      </c>
      <c r="E399" s="4"/>
      <c r="F399" s="4"/>
      <c r="G399" s="4"/>
      <c r="H399" s="4"/>
      <c r="I399" s="4" t="s">
        <v>651</v>
      </c>
      <c r="J399" s="4" t="s">
        <v>573</v>
      </c>
      <c r="K399" s="4" t="s">
        <v>90</v>
      </c>
      <c r="L399" s="4" t="s">
        <v>21</v>
      </c>
      <c r="M399" s="3" t="str">
        <f>IF(H399 = "","",MONTH(H399))</f>
        <v/>
      </c>
      <c r="N399" s="3" t="str">
        <f>IF(H399 = "","",YEAR(H399))</f>
        <v/>
      </c>
      <c r="O399" s="6" t="str">
        <f t="shared" si="34"/>
        <v>-</v>
      </c>
      <c r="P399" s="6" t="str">
        <f t="shared" si="35"/>
        <v>-</v>
      </c>
      <c r="Q399" s="6" t="str">
        <f t="shared" si="36"/>
        <v>-</v>
      </c>
      <c r="R399" s="6" t="str">
        <f t="shared" si="37"/>
        <v>-</v>
      </c>
      <c r="S399" s="6" t="str">
        <f t="shared" si="38"/>
        <v>-</v>
      </c>
    </row>
    <row r="400" spans="1:19" ht="14.1" customHeight="1" thickBot="1" x14ac:dyDescent="0.25">
      <c r="A400" s="4" t="str">
        <f>"0520"</f>
        <v>0520</v>
      </c>
      <c r="B400" s="4"/>
      <c r="C400" s="4"/>
      <c r="D400" s="4" t="str">
        <f>"05005"</f>
        <v>05005</v>
      </c>
      <c r="E400" s="4"/>
      <c r="F400" s="4"/>
      <c r="G400" s="4"/>
      <c r="H400" s="4"/>
      <c r="I400" s="4" t="s">
        <v>652</v>
      </c>
      <c r="J400" s="4" t="s">
        <v>653</v>
      </c>
      <c r="K400" s="4" t="s">
        <v>90</v>
      </c>
      <c r="L400" s="4" t="s">
        <v>127</v>
      </c>
      <c r="M400" s="3" t="str">
        <f>IF(H400 = "","",MONTH(H400))</f>
        <v/>
      </c>
      <c r="N400" s="3" t="str">
        <f>IF(H400 = "","",YEAR(H400))</f>
        <v/>
      </c>
      <c r="O400" s="6" t="str">
        <f t="shared" si="34"/>
        <v>-</v>
      </c>
      <c r="P400" s="6" t="str">
        <f t="shared" si="35"/>
        <v>-</v>
      </c>
      <c r="Q400" s="6" t="str">
        <f t="shared" si="36"/>
        <v>-</v>
      </c>
      <c r="R400" s="6" t="str">
        <f t="shared" si="37"/>
        <v>-</v>
      </c>
      <c r="S400" s="6" t="str">
        <f t="shared" si="38"/>
        <v>-</v>
      </c>
    </row>
    <row r="401" spans="1:19" ht="14.1" customHeight="1" thickBot="1" x14ac:dyDescent="0.25">
      <c r="A401" s="4" t="str">
        <f>"0101"</f>
        <v>0101</v>
      </c>
      <c r="B401" s="4"/>
      <c r="C401" s="4"/>
      <c r="D401" s="4" t="str">
        <f>"01001"</f>
        <v>01001</v>
      </c>
      <c r="E401" s="4"/>
      <c r="F401" s="4"/>
      <c r="G401" s="4"/>
      <c r="H401" s="4"/>
      <c r="I401" s="4" t="s">
        <v>654</v>
      </c>
      <c r="J401" s="4" t="s">
        <v>655</v>
      </c>
      <c r="K401" s="4" t="s">
        <v>582</v>
      </c>
      <c r="L401" s="4" t="s">
        <v>21</v>
      </c>
      <c r="M401" s="3" t="str">
        <f>IF(H401 = "","",MONTH(H401))</f>
        <v/>
      </c>
      <c r="N401" s="3" t="str">
        <f>IF(H401 = "","",YEAR(H401))</f>
        <v/>
      </c>
      <c r="O401" s="6" t="str">
        <f t="shared" si="34"/>
        <v>-</v>
      </c>
      <c r="P401" s="6" t="str">
        <f t="shared" si="35"/>
        <v>-</v>
      </c>
      <c r="Q401" s="6" t="str">
        <f t="shared" si="36"/>
        <v>-</v>
      </c>
      <c r="R401" s="6" t="str">
        <f t="shared" si="37"/>
        <v>-</v>
      </c>
      <c r="S401" s="6" t="str">
        <f t="shared" si="38"/>
        <v>-</v>
      </c>
    </row>
    <row r="402" spans="1:19" ht="14.1" customHeight="1" thickBot="1" x14ac:dyDescent="0.25">
      <c r="A402" s="4" t="str">
        <f>"0235"</f>
        <v>0235</v>
      </c>
      <c r="B402" s="4"/>
      <c r="C402" s="4"/>
      <c r="D402" s="4" t="str">
        <f>"02018"</f>
        <v>02018</v>
      </c>
      <c r="E402" s="4"/>
      <c r="F402" s="4"/>
      <c r="G402" s="4"/>
      <c r="H402" s="4"/>
      <c r="I402" s="4" t="s">
        <v>656</v>
      </c>
      <c r="J402" s="4" t="s">
        <v>361</v>
      </c>
      <c r="K402" s="4" t="s">
        <v>90</v>
      </c>
      <c r="L402" s="4" t="s">
        <v>21</v>
      </c>
      <c r="M402" s="3" t="str">
        <f>IF(H402 = "","",MONTH(H402))</f>
        <v/>
      </c>
      <c r="N402" s="3" t="str">
        <f>IF(H402 = "","",YEAR(H402))</f>
        <v/>
      </c>
      <c r="O402" s="6" t="str">
        <f t="shared" si="34"/>
        <v>-</v>
      </c>
      <c r="P402" s="6" t="str">
        <f t="shared" si="35"/>
        <v>-</v>
      </c>
      <c r="Q402" s="6" t="str">
        <f t="shared" si="36"/>
        <v>-</v>
      </c>
      <c r="R402" s="6" t="str">
        <f t="shared" si="37"/>
        <v>-</v>
      </c>
      <c r="S402" s="6" t="str">
        <f t="shared" si="38"/>
        <v>-</v>
      </c>
    </row>
    <row r="403" spans="1:19" ht="14.1" customHeight="1" thickBot="1" x14ac:dyDescent="0.25">
      <c r="A403" s="4" t="str">
        <f>"0418"</f>
        <v>0418</v>
      </c>
      <c r="B403" s="4"/>
      <c r="C403" s="4"/>
      <c r="D403" s="4"/>
      <c r="E403" s="4"/>
      <c r="F403" s="4"/>
      <c r="G403" s="4"/>
      <c r="H403" s="4"/>
      <c r="I403" s="4"/>
      <c r="J403" s="4" t="s">
        <v>657</v>
      </c>
      <c r="K403" s="4"/>
      <c r="L403" s="4" t="str">
        <f>"0"</f>
        <v>0</v>
      </c>
      <c r="M403" s="3" t="str">
        <f>IF(H403 = "","",MONTH(H403))</f>
        <v/>
      </c>
      <c r="N403" s="3" t="str">
        <f>IF(H403 = "","",YEAR(H403))</f>
        <v/>
      </c>
      <c r="O403" s="6" t="str">
        <f t="shared" si="34"/>
        <v>-</v>
      </c>
      <c r="P403" s="6" t="str">
        <f t="shared" si="35"/>
        <v>-</v>
      </c>
      <c r="Q403" s="6" t="str">
        <f t="shared" si="36"/>
        <v>-</v>
      </c>
      <c r="R403" s="6" t="str">
        <f t="shared" si="37"/>
        <v>-</v>
      </c>
      <c r="S403" s="6" t="str">
        <f t="shared" si="38"/>
        <v>-</v>
      </c>
    </row>
    <row r="404" spans="1:19" ht="14.1" customHeight="1" thickBot="1" x14ac:dyDescent="0.25">
      <c r="A404" s="4" t="str">
        <f>"0712"</f>
        <v>0712</v>
      </c>
      <c r="B404" s="4"/>
      <c r="C404" s="4"/>
      <c r="D404" s="4"/>
      <c r="E404" s="4"/>
      <c r="F404" s="4"/>
      <c r="G404" s="4"/>
      <c r="H404" s="4"/>
      <c r="I404" s="4" t="s">
        <v>658</v>
      </c>
      <c r="J404" s="4" t="s">
        <v>659</v>
      </c>
      <c r="K404" s="4" t="s">
        <v>39</v>
      </c>
      <c r="L404" s="4" t="str">
        <f>"0"</f>
        <v>0</v>
      </c>
      <c r="M404" s="3" t="str">
        <f>IF(H404 = "","",MONTH(H404))</f>
        <v/>
      </c>
      <c r="N404" s="3" t="str">
        <f>IF(H404 = "","",YEAR(H404))</f>
        <v/>
      </c>
      <c r="O404" s="6" t="str">
        <f t="shared" si="34"/>
        <v>-</v>
      </c>
      <c r="P404" s="6" t="str">
        <f t="shared" si="35"/>
        <v>-</v>
      </c>
      <c r="Q404" s="6" t="str">
        <f t="shared" si="36"/>
        <v>-</v>
      </c>
      <c r="R404" s="6" t="str">
        <f t="shared" si="37"/>
        <v>-</v>
      </c>
      <c r="S404" s="6" t="str">
        <f t="shared" si="38"/>
        <v>-</v>
      </c>
    </row>
    <row r="405" spans="1:19" ht="14.1" customHeight="1" thickBot="1" x14ac:dyDescent="0.25">
      <c r="A405" s="4" t="str">
        <f>"0705"</f>
        <v>0705</v>
      </c>
      <c r="B405" s="4"/>
      <c r="C405" s="4"/>
      <c r="D405" s="4"/>
      <c r="E405" s="4"/>
      <c r="F405" s="4"/>
      <c r="G405" s="4"/>
      <c r="H405" s="4"/>
      <c r="I405" s="4" t="s">
        <v>660</v>
      </c>
      <c r="J405" s="4" t="s">
        <v>661</v>
      </c>
      <c r="K405" s="4" t="s">
        <v>662</v>
      </c>
      <c r="L405" s="4" t="str">
        <f>"0"</f>
        <v>0</v>
      </c>
      <c r="M405" s="3" t="str">
        <f>IF(H405 = "","",MONTH(H405))</f>
        <v/>
      </c>
      <c r="N405" s="3" t="str">
        <f>IF(H405 = "","",YEAR(H405))</f>
        <v/>
      </c>
      <c r="O405" s="6" t="str">
        <f t="shared" si="34"/>
        <v>-</v>
      </c>
      <c r="P405" s="6" t="str">
        <f t="shared" si="35"/>
        <v>-</v>
      </c>
      <c r="Q405" s="6" t="str">
        <f t="shared" si="36"/>
        <v>-</v>
      </c>
      <c r="R405" s="6" t="str">
        <f t="shared" si="37"/>
        <v>-</v>
      </c>
      <c r="S405" s="6" t="str">
        <f t="shared" si="38"/>
        <v>-</v>
      </c>
    </row>
    <row r="406" spans="1:19" ht="14.1" customHeight="1" thickBot="1" x14ac:dyDescent="0.25">
      <c r="A406" s="4" t="str">
        <f>"0225"</f>
        <v>0225</v>
      </c>
      <c r="B406" s="4"/>
      <c r="C406" s="4"/>
      <c r="D406" s="4" t="str">
        <f>"02027"</f>
        <v>02027</v>
      </c>
      <c r="E406" s="4"/>
      <c r="F406" s="4"/>
      <c r="G406" s="4"/>
      <c r="H406" s="4"/>
      <c r="I406" s="4" t="s">
        <v>663</v>
      </c>
      <c r="J406" s="4" t="s">
        <v>664</v>
      </c>
      <c r="K406" s="4" t="s">
        <v>419</v>
      </c>
      <c r="L406" s="4" t="s">
        <v>21</v>
      </c>
      <c r="M406" s="3" t="str">
        <f>IF(H406 = "","",MONTH(H406))</f>
        <v/>
      </c>
      <c r="N406" s="3" t="str">
        <f>IF(H406 = "","",YEAR(H406))</f>
        <v/>
      </c>
      <c r="O406" s="6" t="str">
        <f t="shared" si="34"/>
        <v>-</v>
      </c>
      <c r="P406" s="6" t="str">
        <f t="shared" si="35"/>
        <v>-</v>
      </c>
      <c r="Q406" s="6" t="str">
        <f t="shared" si="36"/>
        <v>-</v>
      </c>
      <c r="R406" s="6" t="str">
        <f t="shared" si="37"/>
        <v>-</v>
      </c>
      <c r="S406" s="6" t="str">
        <f t="shared" si="38"/>
        <v>-</v>
      </c>
    </row>
    <row r="407" spans="1:19" ht="14.1" customHeight="1" thickBot="1" x14ac:dyDescent="0.25">
      <c r="A407" s="4" t="str">
        <f>"0006"</f>
        <v>0006</v>
      </c>
      <c r="B407" s="4"/>
      <c r="C407" s="4"/>
      <c r="D407" s="4" t="str">
        <f>"00006"</f>
        <v>00006</v>
      </c>
      <c r="E407" s="4"/>
      <c r="F407" s="4"/>
      <c r="G407" s="4"/>
      <c r="H407" s="4"/>
      <c r="I407" s="4" t="s">
        <v>665</v>
      </c>
      <c r="J407" s="4" t="s">
        <v>666</v>
      </c>
      <c r="K407" s="4" t="s">
        <v>90</v>
      </c>
      <c r="L407" s="4" t="s">
        <v>127</v>
      </c>
      <c r="M407" s="3" t="str">
        <f>IF(H407 = "","",MONTH(H407))</f>
        <v/>
      </c>
      <c r="N407" s="3" t="str">
        <f>IF(H407 = "","",YEAR(H407))</f>
        <v/>
      </c>
      <c r="O407" s="6" t="str">
        <f t="shared" si="34"/>
        <v>-</v>
      </c>
      <c r="P407" s="6" t="str">
        <f t="shared" si="35"/>
        <v>-</v>
      </c>
      <c r="Q407" s="6" t="str">
        <f t="shared" si="36"/>
        <v>-</v>
      </c>
      <c r="R407" s="6" t="str">
        <f t="shared" si="37"/>
        <v>-</v>
      </c>
      <c r="S407" s="6" t="str">
        <f t="shared" si="38"/>
        <v>-</v>
      </c>
    </row>
    <row r="408" spans="1:19" ht="14.1" customHeight="1" thickBot="1" x14ac:dyDescent="0.25">
      <c r="A408" s="4" t="str">
        <f>"0231"</f>
        <v>0231</v>
      </c>
      <c r="B408" s="4"/>
      <c r="C408" s="4"/>
      <c r="D408" s="4" t="str">
        <f>"02010"</f>
        <v>02010</v>
      </c>
      <c r="E408" s="4"/>
      <c r="F408" s="4"/>
      <c r="G408" s="4"/>
      <c r="H408" s="4"/>
      <c r="I408" s="4" t="s">
        <v>667</v>
      </c>
      <c r="J408" s="4" t="s">
        <v>418</v>
      </c>
      <c r="K408" s="4" t="s">
        <v>90</v>
      </c>
      <c r="L408" s="4" t="s">
        <v>431</v>
      </c>
      <c r="M408" s="3" t="str">
        <f>IF(H408 = "","",MONTH(H408))</f>
        <v/>
      </c>
      <c r="N408" s="3" t="str">
        <f>IF(H408 = "","",YEAR(H408))</f>
        <v/>
      </c>
      <c r="O408" s="6" t="str">
        <f t="shared" si="34"/>
        <v>-</v>
      </c>
      <c r="P408" s="6" t="str">
        <f t="shared" si="35"/>
        <v>-</v>
      </c>
      <c r="Q408" s="6" t="str">
        <f t="shared" si="36"/>
        <v>-</v>
      </c>
      <c r="R408" s="6" t="str">
        <f t="shared" si="37"/>
        <v>-</v>
      </c>
      <c r="S408" s="6" t="str">
        <f t="shared" si="38"/>
        <v>-</v>
      </c>
    </row>
    <row r="409" spans="1:19" ht="14.1" customHeight="1" thickBot="1" x14ac:dyDescent="0.25">
      <c r="A409" s="4" t="str">
        <f>"0329"</f>
        <v>0329</v>
      </c>
      <c r="B409" s="4"/>
      <c r="C409" s="4"/>
      <c r="D409" s="4"/>
      <c r="E409" s="4"/>
      <c r="F409" s="4"/>
      <c r="G409" s="4"/>
      <c r="H409" s="4"/>
      <c r="I409" s="4"/>
      <c r="J409" s="4"/>
      <c r="K409" s="4" t="s">
        <v>470</v>
      </c>
      <c r="L409" s="4" t="str">
        <f>"0"</f>
        <v>0</v>
      </c>
      <c r="M409" s="3" t="str">
        <f>IF(H409 = "","",MONTH(H409))</f>
        <v/>
      </c>
      <c r="N409" s="3" t="str">
        <f>IF(H409 = "","",YEAR(H409))</f>
        <v/>
      </c>
      <c r="O409" s="6" t="str">
        <f t="shared" si="34"/>
        <v>-</v>
      </c>
      <c r="P409" s="6" t="str">
        <f t="shared" si="35"/>
        <v>-</v>
      </c>
      <c r="Q409" s="6" t="str">
        <f t="shared" si="36"/>
        <v>-</v>
      </c>
      <c r="R409" s="6" t="str">
        <f t="shared" si="37"/>
        <v>-</v>
      </c>
      <c r="S409" s="6" t="str">
        <f t="shared" si="38"/>
        <v>-</v>
      </c>
    </row>
    <row r="410" spans="1:19" ht="14.1" customHeight="1" thickBot="1" x14ac:dyDescent="0.25">
      <c r="A410" s="4" t="str">
        <f>"0338"</f>
        <v>0338</v>
      </c>
      <c r="B410" s="4"/>
      <c r="C410" s="4"/>
      <c r="D410" s="4" t="str">
        <f>"03002"</f>
        <v>03002</v>
      </c>
      <c r="E410" s="4"/>
      <c r="F410" s="4"/>
      <c r="G410" s="4"/>
      <c r="H410" s="4"/>
      <c r="I410" s="4" t="s">
        <v>668</v>
      </c>
      <c r="J410" s="4" t="s">
        <v>669</v>
      </c>
      <c r="K410" s="4" t="s">
        <v>90</v>
      </c>
      <c r="L410" s="4" t="s">
        <v>127</v>
      </c>
      <c r="M410" s="3" t="str">
        <f>IF(H410 = "","",MONTH(H410))</f>
        <v/>
      </c>
      <c r="N410" s="3" t="str">
        <f>IF(H410 = "","",YEAR(H410))</f>
        <v/>
      </c>
      <c r="O410" s="6" t="str">
        <f t="shared" si="34"/>
        <v>-</v>
      </c>
      <c r="P410" s="6" t="str">
        <f t="shared" si="35"/>
        <v>-</v>
      </c>
      <c r="Q410" s="6" t="str">
        <f t="shared" si="36"/>
        <v>-</v>
      </c>
      <c r="R410" s="6" t="str">
        <f t="shared" si="37"/>
        <v>-</v>
      </c>
      <c r="S410" s="6" t="str">
        <f t="shared" si="38"/>
        <v>-</v>
      </c>
    </row>
    <row r="411" spans="1:19" ht="14.1" customHeight="1" thickBot="1" x14ac:dyDescent="0.25">
      <c r="A411" s="4" t="str">
        <f>"0105"</f>
        <v>0105</v>
      </c>
      <c r="B411" s="4"/>
      <c r="C411" s="4"/>
      <c r="D411" s="4" t="str">
        <f>"01005"</f>
        <v>01005</v>
      </c>
      <c r="E411" s="4"/>
      <c r="F411" s="4"/>
      <c r="G411" s="4"/>
      <c r="H411" s="4"/>
      <c r="I411" s="4" t="s">
        <v>670</v>
      </c>
      <c r="J411" s="4" t="s">
        <v>671</v>
      </c>
      <c r="K411" s="4" t="s">
        <v>90</v>
      </c>
      <c r="L411" s="4" t="s">
        <v>21</v>
      </c>
      <c r="M411" s="3" t="str">
        <f>IF(H411 = "","",MONTH(H411))</f>
        <v/>
      </c>
      <c r="N411" s="3" t="str">
        <f>IF(H411 = "","",YEAR(H411))</f>
        <v/>
      </c>
      <c r="O411" s="6" t="str">
        <f t="shared" si="34"/>
        <v>-</v>
      </c>
      <c r="P411" s="6" t="str">
        <f t="shared" si="35"/>
        <v>-</v>
      </c>
      <c r="Q411" s="6" t="str">
        <f t="shared" si="36"/>
        <v>-</v>
      </c>
      <c r="R411" s="6" t="str">
        <f t="shared" si="37"/>
        <v>-</v>
      </c>
      <c r="S411" s="6" t="str">
        <f t="shared" si="38"/>
        <v>-</v>
      </c>
    </row>
    <row r="412" spans="1:19" ht="14.1" customHeight="1" thickBot="1" x14ac:dyDescent="0.25">
      <c r="A412" s="4" t="str">
        <f>"0487"</f>
        <v>0487</v>
      </c>
      <c r="B412" s="4"/>
      <c r="C412" s="4"/>
      <c r="D412" s="4" t="str">
        <f>"04012"</f>
        <v>04012</v>
      </c>
      <c r="E412" s="4"/>
      <c r="F412" s="4"/>
      <c r="G412" s="4"/>
      <c r="H412" s="4"/>
      <c r="I412" s="4" t="s">
        <v>672</v>
      </c>
      <c r="J412" s="4" t="s">
        <v>673</v>
      </c>
      <c r="K412" s="4" t="s">
        <v>90</v>
      </c>
      <c r="L412" s="4" t="s">
        <v>21</v>
      </c>
      <c r="M412" s="3" t="str">
        <f>IF(H412 = "","",MONTH(H412))</f>
        <v/>
      </c>
      <c r="N412" s="3" t="str">
        <f>IF(H412 = "","",YEAR(H412))</f>
        <v/>
      </c>
      <c r="O412" s="6" t="str">
        <f t="shared" si="34"/>
        <v>-</v>
      </c>
      <c r="P412" s="6" t="str">
        <f t="shared" si="35"/>
        <v>-</v>
      </c>
      <c r="Q412" s="6" t="str">
        <f t="shared" si="36"/>
        <v>-</v>
      </c>
      <c r="R412" s="6" t="str">
        <f t="shared" si="37"/>
        <v>-</v>
      </c>
      <c r="S412" s="6" t="str">
        <f t="shared" si="38"/>
        <v>-</v>
      </c>
    </row>
    <row r="413" spans="1:19" ht="14.1" customHeight="1" thickBot="1" x14ac:dyDescent="0.25">
      <c r="A413" s="4" t="str">
        <f>"0223"</f>
        <v>0223</v>
      </c>
      <c r="B413" s="4"/>
      <c r="C413" s="4"/>
      <c r="D413" s="4" t="str">
        <f>"02020"</f>
        <v>02020</v>
      </c>
      <c r="E413" s="4"/>
      <c r="F413" s="4"/>
      <c r="G413" s="4"/>
      <c r="H413" s="4"/>
      <c r="I413" s="4" t="s">
        <v>674</v>
      </c>
      <c r="J413" s="4" t="s">
        <v>675</v>
      </c>
      <c r="K413" s="4" t="s">
        <v>73</v>
      </c>
      <c r="L413" s="4" t="s">
        <v>21</v>
      </c>
      <c r="M413" s="3" t="str">
        <f>IF(H413 = "","",MONTH(H413))</f>
        <v/>
      </c>
      <c r="N413" s="3" t="str">
        <f>IF(H413 = "","",YEAR(H413))</f>
        <v/>
      </c>
      <c r="O413" s="6" t="str">
        <f t="shared" si="34"/>
        <v>-</v>
      </c>
      <c r="P413" s="6" t="str">
        <f t="shared" si="35"/>
        <v>-</v>
      </c>
      <c r="Q413" s="6" t="str">
        <f t="shared" si="36"/>
        <v>-</v>
      </c>
      <c r="R413" s="6" t="str">
        <f t="shared" si="37"/>
        <v>-</v>
      </c>
      <c r="S413" s="6" t="str">
        <f t="shared" si="38"/>
        <v>-</v>
      </c>
    </row>
    <row r="414" spans="1:19" ht="14.1" customHeight="1" thickBot="1" x14ac:dyDescent="0.25">
      <c r="A414" s="4" t="str">
        <f>"0432"</f>
        <v>0432</v>
      </c>
      <c r="B414" s="4"/>
      <c r="C414" s="4"/>
      <c r="D414" s="4"/>
      <c r="E414" s="4"/>
      <c r="F414" s="4"/>
      <c r="G414" s="4"/>
      <c r="H414" s="4"/>
      <c r="I414" s="4"/>
      <c r="J414" s="4" t="s">
        <v>676</v>
      </c>
      <c r="K414" s="4" t="s">
        <v>97</v>
      </c>
      <c r="L414" s="4" t="str">
        <f>"0"</f>
        <v>0</v>
      </c>
      <c r="M414" s="3" t="str">
        <f>IF(H414 = "","",MONTH(H414))</f>
        <v/>
      </c>
      <c r="N414" s="3" t="str">
        <f>IF(H414 = "","",YEAR(H414))</f>
        <v/>
      </c>
      <c r="O414" s="6" t="str">
        <f t="shared" si="34"/>
        <v>-</v>
      </c>
      <c r="P414" s="6" t="str">
        <f t="shared" si="35"/>
        <v>-</v>
      </c>
      <c r="Q414" s="6" t="str">
        <f t="shared" si="36"/>
        <v>-</v>
      </c>
      <c r="R414" s="6" t="str">
        <f t="shared" si="37"/>
        <v>-</v>
      </c>
      <c r="S414" s="6" t="str">
        <f t="shared" si="38"/>
        <v>-</v>
      </c>
    </row>
    <row r="415" spans="1:19" s="8" customFormat="1" ht="14.1" customHeight="1" thickBot="1" x14ac:dyDescent="0.25">
      <c r="A415" s="7" t="s">
        <v>677</v>
      </c>
      <c r="B415" s="7"/>
      <c r="C415" s="7"/>
      <c r="D415" s="7" t="s">
        <v>677</v>
      </c>
      <c r="E415" s="7"/>
      <c r="F415" s="7"/>
      <c r="G415" s="7"/>
      <c r="H415" s="7"/>
      <c r="I415" s="7"/>
      <c r="J415" s="7"/>
      <c r="K415" s="7"/>
      <c r="L415" s="7"/>
      <c r="Q415" s="6"/>
      <c r="R415" s="6"/>
      <c r="S415" s="3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prospecciones_con_encargo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2015-11-13T19:31:40Z</dcterms:created>
  <dcterms:modified xsi:type="dcterms:W3CDTF">2015-11-13T19:31:40Z</dcterms:modified>
</cp:coreProperties>
</file>