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66_DOCU GENERAL DESPACHO\65_PROGRAMAS CALCULO\"/>
    </mc:Choice>
  </mc:AlternateContent>
  <xr:revisionPtr revIDLastSave="0" documentId="13_ncr:1_{BBED6CED-9D70-475B-A639-F93A19FD68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R MEN JP" sheetId="1" r:id="rId1"/>
  </sheets>
  <externalReferences>
    <externalReference r:id="rId2"/>
  </externalReferences>
  <definedNames>
    <definedName name="_1_m" localSheetId="0">'MR MEN JP'!$B$117</definedName>
    <definedName name="_1_m">#REF!</definedName>
    <definedName name="_2Rn_m_fy" localSheetId="0">'MR MEN JP'!$B$116</definedName>
    <definedName name="_2Rn_m_fy">#REF!</definedName>
    <definedName name="a" localSheetId="0">'MR MEN JP'!#REF!</definedName>
    <definedName name="a">#REF!</definedName>
    <definedName name="altura_total" localSheetId="0">'MR MEN JP'!$G$10</definedName>
    <definedName name="altura_total">#REF!</definedName>
    <definedName name="_xlnm.Print_Area" localSheetId="0">'MR MEN JP'!$A$1:$H$204</definedName>
    <definedName name="AUTOS" localSheetId="0">'MR MEN JP'!$B$75</definedName>
    <definedName name="AUTOS">[1]Murobb!$B$75</definedName>
    <definedName name="b" localSheetId="0">'MR MEN JP'!$H$20</definedName>
    <definedName name="b">#REF!</definedName>
    <definedName name="Base" localSheetId="0">'MR MEN JP'!$B$68</definedName>
    <definedName name="Base">#REF!</definedName>
    <definedName name="CM" localSheetId="0">'MR MEN JP'!$F$111</definedName>
    <definedName name="CM">[1]Murobb!$D$51</definedName>
    <definedName name="coeficientedefriccion" localSheetId="0">'MR MEN JP'!$G$8</definedName>
    <definedName name="coeficientedefriccion">#REF!</definedName>
    <definedName name="corona" localSheetId="0">'MR MEN JP'!$H$19</definedName>
    <definedName name="corona">#REF!</definedName>
    <definedName name="Cos_delta_beta_teta" localSheetId="0">'MR MEN JP'!#REF!</definedName>
    <definedName name="Cos_delta_beta_teta">#REF!</definedName>
    <definedName name="Cos_i_beta" localSheetId="0">'MR MEN JP'!#REF!</definedName>
    <definedName name="Cos_i_beta">#REF!</definedName>
    <definedName name="Cos_teta" localSheetId="0">'MR MEN JP'!#REF!</definedName>
    <definedName name="Cos_teta">#REF!</definedName>
    <definedName name="Cos2_phi_teta_beta" localSheetId="0">'MR MEN JP'!#REF!</definedName>
    <definedName name="Cos2_phi_teta_beta">#REF!</definedName>
    <definedName name="Cos2beta" localSheetId="0">'MR MEN JP'!#REF!</definedName>
    <definedName name="Cos2beta">#REF!</definedName>
    <definedName name="CV" localSheetId="0">'MR MEN JP'!$D$111</definedName>
    <definedName name="CV">[1]Murobb!$B$51</definedName>
    <definedName name="deltav">'[1](1)'!$E$32</definedName>
    <definedName name="e" localSheetId="0">'MR MEN JP'!$B$86</definedName>
    <definedName name="e">#REF!</definedName>
    <definedName name="Ea" localSheetId="0">'MR MEN JP'!$G$40</definedName>
    <definedName name="Ea">#REF!</definedName>
    <definedName name="Eae" localSheetId="0">'MR MEN JP'!#REF!</definedName>
    <definedName name="Eae">#REF!</definedName>
    <definedName name="Empuje">'[1](1)'!$E$30</definedName>
    <definedName name="Empujeactivodinamico" localSheetId="0">'MR MEN JP'!#REF!</definedName>
    <definedName name="Empujeactivodinamico">#REF!</definedName>
    <definedName name="espesorzapata" localSheetId="0">'MR MEN JP'!$H$18</definedName>
    <definedName name="espesorzapata">#REF!</definedName>
    <definedName name="fc__" localSheetId="0">'MR MEN JP'!$G$5</definedName>
    <definedName name="fc__">#REF!</definedName>
    <definedName name="Fy__" localSheetId="0">'MR MEN JP'!$G$6</definedName>
    <definedName name="Fy__">#REF!</definedName>
    <definedName name="hsobrealtura" localSheetId="0">'MR MEN JP'!$G$46</definedName>
    <definedName name="hsobrealtura">#REF!</definedName>
    <definedName name="i" localSheetId="0">'MR MEN JP'!#REF!</definedName>
    <definedName name="i">#REF!</definedName>
    <definedName name="Ka" localSheetId="0">'MR MEN JP'!$G$38</definedName>
    <definedName name="Ka">#REF!</definedName>
    <definedName name="Kae" localSheetId="0">'MR MEN JP'!#REF!</definedName>
    <definedName name="Kae">#REF!</definedName>
    <definedName name="Kh" localSheetId="0">'MR MEN JP'!#REF!</definedName>
    <definedName name="Kh">#REF!</definedName>
    <definedName name="Kv" localSheetId="0">'MR MEN JP'!#REF!</definedName>
    <definedName name="Kv">#REF!</definedName>
    <definedName name="m" localSheetId="0">'MR MEN JP'!$B$114</definedName>
    <definedName name="m">#REF!</definedName>
    <definedName name="Mu" localSheetId="0">'MR MEN JP'!$B$112</definedName>
    <definedName name="Mu">#REF!</definedName>
    <definedName name="Ǿ" localSheetId="0">'MR MEN JP'!$G$7</definedName>
    <definedName name="Ǿ">#REF!</definedName>
    <definedName name="Ǿrad" localSheetId="0">'MR MEN JP'!$G$7</definedName>
    <definedName name="Ǿrad">#REF!</definedName>
    <definedName name="peHA" localSheetId="0">'MR MEN JP'!$I$111</definedName>
    <definedName name="peHA">[1]Murobb!$G$51</definedName>
    <definedName name="raiz_1_2Rn_m_fy" localSheetId="0">'MR MEN JP'!$B$118</definedName>
    <definedName name="raiz_1_2Rn_m_fy">#REF!</definedName>
    <definedName name="relleno" localSheetId="0">'MR MEN JP'!$B$76</definedName>
    <definedName name="relleno">[1]Murobb!$B$76</definedName>
    <definedName name="Rn" localSheetId="0">'MR MEN JP'!$B$115</definedName>
    <definedName name="Rn">#REF!</definedName>
    <definedName name="Sen_phi_delta" localSheetId="0">'MR MEN JP'!#REF!</definedName>
    <definedName name="Sen_phi_delta">#REF!</definedName>
    <definedName name="Sen_phi_teta_i" localSheetId="0">'MR MEN JP'!#REF!</definedName>
    <definedName name="Sen_phi_teta_i">#REF!</definedName>
    <definedName name="sobrecarga" localSheetId="0">'MR MEN JP'!$G$11</definedName>
    <definedName name="sobrecarga">#REF!</definedName>
    <definedName name="SumVerticales" localSheetId="0">'MR MEN JP'!$B$79</definedName>
    <definedName name="SumVerticales">#REF!</definedName>
    <definedName name="talon" localSheetId="0">'MR MEN JP'!$D$164</definedName>
    <definedName name="talon">[1]Murobb!$D$164</definedName>
    <definedName name="TIERRA" localSheetId="0">'MR MEN JP'!$B$74</definedName>
    <definedName name="TIERRA">[1]Murobb!$B$74</definedName>
    <definedName name="β" localSheetId="0">'MR MEN JP'!#REF!</definedName>
    <definedName name="β">#REF!</definedName>
    <definedName name="δ" localSheetId="0">'MR MEN JP'!#REF!</definedName>
    <definedName name="δ">#REF!</definedName>
    <definedName name="θ" localSheetId="0">'MR MEN JP'!#REF!</definedName>
    <definedName name="θ">#REF!</definedName>
    <definedName name="ψ" localSheetId="0">'MR MEN JP'!#REF!</definedName>
    <definedName name="ψ">#REF!</definedName>
    <definedName name="ﻻ" localSheetId="0">'MR MEN JP'!$G$9</definedName>
    <definedName name="ﻻ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79" i="1"/>
  <c r="G18" i="1" l="1"/>
  <c r="G19" i="1"/>
  <c r="G20" i="1"/>
  <c r="G21" i="1"/>
  <c r="G22" i="1" s="1"/>
  <c r="B27" i="1"/>
  <c r="B52" i="1" s="1"/>
  <c r="E35" i="1"/>
  <c r="E60" i="1" s="1"/>
  <c r="G35" i="1"/>
  <c r="G37" i="1" s="1"/>
  <c r="A39" i="1"/>
  <c r="G41" i="1"/>
  <c r="E77" i="1" s="1"/>
  <c r="D42" i="1"/>
  <c r="D66" i="1" s="1"/>
  <c r="A43" i="1"/>
  <c r="A67" i="1" s="1"/>
  <c r="B93" i="1" s="1"/>
  <c r="B138" i="1" s="1"/>
  <c r="B160" i="1" s="1"/>
  <c r="C43" i="1"/>
  <c r="C67" i="1" s="1"/>
  <c r="B75" i="1" s="1"/>
  <c r="B46" i="1"/>
  <c r="B68" i="1" s="1"/>
  <c r="G46" i="1"/>
  <c r="G48" i="1"/>
  <c r="G62" i="1" s="1"/>
  <c r="A63" i="1"/>
  <c r="H81" i="1"/>
  <c r="E85" i="1"/>
  <c r="G100" i="1"/>
  <c r="F107" i="1"/>
  <c r="D111" i="1"/>
  <c r="F111" i="1"/>
  <c r="I111" i="1"/>
  <c r="B114" i="1"/>
  <c r="B117" i="1" s="1"/>
  <c r="E117" i="1"/>
  <c r="E118" i="1"/>
  <c r="E119" i="1"/>
  <c r="B120" i="1"/>
  <c r="E120" i="1"/>
  <c r="B121" i="1"/>
  <c r="F126" i="1" s="1"/>
  <c r="E121" i="1"/>
  <c r="E122" i="1"/>
  <c r="C124" i="1"/>
  <c r="C125" i="1"/>
  <c r="C126" i="1"/>
  <c r="C127" i="1"/>
  <c r="C128" i="1"/>
  <c r="E128" i="1"/>
  <c r="C129" i="1"/>
  <c r="E129" i="1"/>
  <c r="E130" i="1"/>
  <c r="E131" i="1"/>
  <c r="G142" i="1"/>
  <c r="G145" i="1"/>
  <c r="B147" i="1"/>
  <c r="B148" i="1"/>
  <c r="G148" i="1"/>
  <c r="B149" i="1"/>
  <c r="B150" i="1"/>
  <c r="B151" i="1"/>
  <c r="B152" i="1"/>
  <c r="G165" i="1"/>
  <c r="G168" i="1" s="1"/>
  <c r="B170" i="1"/>
  <c r="B171" i="1"/>
  <c r="G171" i="1"/>
  <c r="B172" i="1"/>
  <c r="B173" i="1"/>
  <c r="B174" i="1"/>
  <c r="B175" i="1"/>
  <c r="C177" i="1"/>
  <c r="B179" i="1"/>
  <c r="F179" i="1"/>
  <c r="B180" i="1"/>
  <c r="F180" i="1"/>
  <c r="B181" i="1"/>
  <c r="F181" i="1"/>
  <c r="B183" i="1"/>
  <c r="F184" i="1"/>
  <c r="K185" i="1"/>
  <c r="K186" i="1"/>
  <c r="K187" i="1"/>
  <c r="F188" i="1"/>
  <c r="K188" i="1"/>
  <c r="K189" i="1"/>
  <c r="F190" i="1"/>
  <c r="K190" i="1"/>
  <c r="K191" i="1"/>
  <c r="F192" i="1"/>
  <c r="K192" i="1"/>
  <c r="A194" i="1"/>
  <c r="F194" i="1"/>
  <c r="H195" i="1"/>
  <c r="H197" i="1"/>
  <c r="A198" i="1"/>
  <c r="E203" i="1"/>
  <c r="C198" i="1" l="1"/>
  <c r="G83" i="1"/>
  <c r="G82" i="1"/>
  <c r="B201" i="1"/>
  <c r="D197" i="1"/>
  <c r="A137" i="1"/>
  <c r="A159" i="1" s="1"/>
  <c r="E78" i="1"/>
  <c r="E72" i="1"/>
  <c r="B108" i="1"/>
  <c r="C178" i="1" s="1"/>
  <c r="C179" i="1" s="1"/>
  <c r="D179" i="1" s="1"/>
  <c r="G133" i="1"/>
  <c r="F155" i="1"/>
  <c r="E74" i="1"/>
  <c r="E75" i="1" s="1"/>
  <c r="G75" i="1" s="1"/>
  <c r="G36" i="1"/>
  <c r="G38" i="1" s="1"/>
  <c r="F64" i="1"/>
  <c r="E76" i="1"/>
  <c r="F128" i="1"/>
  <c r="G128" i="1" s="1"/>
  <c r="F129" i="1"/>
  <c r="G129" i="1" s="1"/>
  <c r="F131" i="1"/>
  <c r="G131" i="1" s="1"/>
  <c r="F130" i="1"/>
  <c r="G130" i="1" s="1"/>
  <c r="D58" i="1"/>
  <c r="B74" i="1" s="1"/>
  <c r="A189" i="1"/>
  <c r="H103" i="1"/>
  <c r="H104" i="1"/>
  <c r="B76" i="1"/>
  <c r="G76" i="1" s="1"/>
  <c r="E73" i="1"/>
  <c r="B73" i="1"/>
  <c r="C180" i="1"/>
  <c r="D180" i="1" s="1"/>
  <c r="C181" i="1"/>
  <c r="D181" i="1" s="1"/>
  <c r="E192" i="1" s="1"/>
  <c r="L191" i="1" s="1"/>
  <c r="C158" i="1"/>
  <c r="D164" i="1" s="1"/>
  <c r="A64" i="1"/>
  <c r="G23" i="1"/>
  <c r="G176" i="1"/>
  <c r="G177" i="1" s="1"/>
  <c r="C93" i="1"/>
  <c r="B215" i="1"/>
  <c r="B72" i="1" l="1"/>
  <c r="C104" i="1"/>
  <c r="C103" i="1"/>
  <c r="G47" i="1"/>
  <c r="G40" i="1"/>
  <c r="F61" i="1" s="1"/>
  <c r="G179" i="1"/>
  <c r="H179" i="1" s="1"/>
  <c r="G181" i="1"/>
  <c r="H181" i="1" s="1"/>
  <c r="G180" i="1"/>
  <c r="H180" i="1" s="1"/>
  <c r="E190" i="1"/>
  <c r="L192" i="1" s="1"/>
  <c r="E184" i="1"/>
  <c r="L190" i="1" s="1"/>
  <c r="G73" i="1"/>
  <c r="C138" i="1"/>
  <c r="C100" i="1"/>
  <c r="B79" i="1"/>
  <c r="G72" i="1"/>
  <c r="G74" i="1"/>
  <c r="B107" i="1" l="1"/>
  <c r="B109" i="1" s="1"/>
  <c r="F109" i="1" s="1"/>
  <c r="G79" i="1"/>
  <c r="C81" i="1" s="1"/>
  <c r="F80" i="1"/>
  <c r="C77" i="1"/>
  <c r="B112" i="1"/>
  <c r="B115" i="1" s="1"/>
  <c r="B116" i="1" s="1"/>
  <c r="B118" i="1" s="1"/>
  <c r="B119" i="1" s="1"/>
  <c r="F113" i="1" s="1"/>
  <c r="F114" i="1" s="1"/>
  <c r="F122" i="1" s="1"/>
  <c r="G122" i="1" s="1"/>
  <c r="G57" i="1"/>
  <c r="C78" i="1"/>
  <c r="H78" i="1" s="1"/>
  <c r="H77" i="1"/>
  <c r="C145" i="1"/>
  <c r="C160" i="1"/>
  <c r="G195" i="1"/>
  <c r="L188" i="1" s="1"/>
  <c r="G197" i="1"/>
  <c r="L186" i="1" s="1"/>
  <c r="C79" i="1" l="1"/>
  <c r="D80" i="1" s="1"/>
  <c r="F121" i="1"/>
  <c r="G121" i="1" s="1"/>
  <c r="E188" i="1" s="1"/>
  <c r="L189" i="1" s="1"/>
  <c r="F120" i="1"/>
  <c r="G120" i="1" s="1"/>
  <c r="F119" i="1"/>
  <c r="G119" i="1" s="1"/>
  <c r="F118" i="1"/>
  <c r="G118" i="1" s="1"/>
  <c r="F117" i="1"/>
  <c r="G117" i="1" s="1"/>
  <c r="D81" i="1"/>
  <c r="C82" i="1"/>
  <c r="E82" i="1" l="1"/>
  <c r="B86" i="1"/>
  <c r="B88" i="1" l="1"/>
  <c r="E94" i="1" s="1"/>
  <c r="E140" i="1" s="1"/>
  <c r="E162" i="1" s="1"/>
  <c r="B87" i="1"/>
  <c r="E87" i="1" l="1"/>
  <c r="A95" i="1"/>
  <c r="A141" i="1" l="1"/>
  <c r="G91" i="1"/>
  <c r="G95" i="1" l="1"/>
  <c r="C141" i="1"/>
  <c r="G137" i="1" s="1"/>
  <c r="G143" i="1" s="1"/>
  <c r="G144" i="1" s="1"/>
  <c r="G146" i="1" s="1"/>
  <c r="G147" i="1" s="1"/>
  <c r="G149" i="1" s="1"/>
  <c r="G150" i="1" s="1"/>
  <c r="A163" i="1"/>
  <c r="F156" i="1" s="1"/>
  <c r="G94" i="1"/>
  <c r="G97" i="1" l="1"/>
  <c r="C163" i="1"/>
  <c r="G163" i="1" s="1"/>
  <c r="G166" i="1" s="1"/>
  <c r="G167" i="1" s="1"/>
  <c r="G169" i="1" s="1"/>
  <c r="G170" i="1" s="1"/>
  <c r="G172" i="1" s="1"/>
  <c r="G173" i="1" s="1"/>
  <c r="G158" i="1"/>
  <c r="G159" i="1" s="1"/>
  <c r="G160" i="1" s="1"/>
  <c r="G135" i="1"/>
  <c r="G139" i="1" s="1"/>
  <c r="G140" i="1" s="1"/>
  <c r="C148" i="1"/>
  <c r="D148" i="1" s="1"/>
  <c r="C150" i="1"/>
  <c r="D150" i="1" s="1"/>
  <c r="C152" i="1"/>
  <c r="D152" i="1" s="1"/>
  <c r="C147" i="1"/>
  <c r="D147" i="1" s="1"/>
  <c r="C149" i="1"/>
  <c r="D149" i="1" s="1"/>
  <c r="C151" i="1"/>
  <c r="D151" i="1" s="1"/>
  <c r="D203" i="1" s="1"/>
  <c r="L185" i="1" s="1"/>
  <c r="C171" i="1" l="1"/>
  <c r="D171" i="1" s="1"/>
  <c r="C172" i="1"/>
  <c r="D172" i="1" s="1"/>
  <c r="C174" i="1"/>
  <c r="D174" i="1" s="1"/>
  <c r="E194" i="1" s="1"/>
  <c r="L187" i="1" s="1"/>
  <c r="C175" i="1"/>
  <c r="D175" i="1" s="1"/>
  <c r="C170" i="1"/>
  <c r="D170" i="1" s="1"/>
  <c r="C173" i="1"/>
  <c r="D1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ARENAS LOPEZ</author>
  </authors>
  <commentList>
    <comment ref="G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kg/cm2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kg/cm2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00000000-0006-0000-0000-000003000000}">
      <text>
        <r>
          <rPr>
            <sz val="8"/>
            <color indexed="81"/>
            <rFont val="Tahoma"/>
            <family val="2"/>
          </rPr>
          <t>angulo de friccion interna
en grados</t>
        </r>
      </text>
    </comment>
    <comment ref="G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coeficiente de friccion
muro- suelo</t>
        </r>
      </text>
    </comment>
    <comment ref="G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peso unitario del relleno en tn/m3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mts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tn/m2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mts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5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TN/M2
</t>
        </r>
      </text>
    </comment>
  </commentList>
</comments>
</file>

<file path=xl/sharedStrings.xml><?xml version="1.0" encoding="utf-8"?>
<sst xmlns="http://schemas.openxmlformats.org/spreadsheetml/2006/main" count="245" uniqueCount="161">
  <si>
    <t>CALCULO DE MURO EN VOLADIZO SECCION AA</t>
  </si>
  <si>
    <t>DATOS</t>
  </si>
  <si>
    <t xml:space="preserve">fc </t>
  </si>
  <si>
    <t>kg/cm2</t>
  </si>
  <si>
    <t xml:space="preserve">Fy </t>
  </si>
  <si>
    <t>Ǿ</t>
  </si>
  <si>
    <t>ª</t>
  </si>
  <si>
    <t>µ</t>
  </si>
  <si>
    <t xml:space="preserve"> ﻻ</t>
  </si>
  <si>
    <t>tn/m3</t>
  </si>
  <si>
    <t>altura total</t>
  </si>
  <si>
    <t>m</t>
  </si>
  <si>
    <t>sobrecarga</t>
  </si>
  <si>
    <t>tn/m2</t>
  </si>
  <si>
    <t>relleno delante muro</t>
  </si>
  <si>
    <t>PREDIMENSIONAMIENTO</t>
  </si>
  <si>
    <t>ASUMIR</t>
  </si>
  <si>
    <t>Espesor zapata</t>
  </si>
  <si>
    <t>c</t>
  </si>
  <si>
    <t>b</t>
  </si>
  <si>
    <t>Base</t>
  </si>
  <si>
    <t>Dedo</t>
  </si>
  <si>
    <t>Talon</t>
  </si>
  <si>
    <t>notas:</t>
  </si>
  <si>
    <t>B =(2/3)H</t>
  </si>
  <si>
    <t>c=H/10 o 0.3 el mayor de los dos</t>
  </si>
  <si>
    <t>espesor zapata=H/10</t>
  </si>
  <si>
    <t>b=H/12</t>
  </si>
  <si>
    <t>Dedo=1/3 del ancho de la base</t>
  </si>
  <si>
    <t>CALCULO DE LOS EMPUJES</t>
  </si>
  <si>
    <t>EMPUJE ACTIVO</t>
  </si>
  <si>
    <t>radianes</t>
  </si>
  <si>
    <t>1-SenǾ</t>
  </si>
  <si>
    <t>1+SenǾ</t>
  </si>
  <si>
    <t>Ka</t>
  </si>
  <si>
    <t>Ea</t>
  </si>
  <si>
    <t>pto. Aplicación</t>
  </si>
  <si>
    <t>SOBRECARGA</t>
  </si>
  <si>
    <t>h</t>
  </si>
  <si>
    <t>Esobrecarga</t>
  </si>
  <si>
    <t>pto aplicación</t>
  </si>
  <si>
    <t>ANALISIS DE ESTABILIDAD</t>
  </si>
  <si>
    <t>FUERZA (TN/MT)</t>
  </si>
  <si>
    <t>XA (M)</t>
  </si>
  <si>
    <t>Mav</t>
  </si>
  <si>
    <t>Mah</t>
  </si>
  <si>
    <t>Seccion</t>
  </si>
  <si>
    <t>Area</t>
  </si>
  <si>
    <t>Peso espec</t>
  </si>
  <si>
    <t>Peso/Unidad</t>
  </si>
  <si>
    <t>Brazo (O)</t>
  </si>
  <si>
    <t>Mto</t>
  </si>
  <si>
    <t>V</t>
  </si>
  <si>
    <t>H</t>
  </si>
  <si>
    <t>brazo</t>
  </si>
  <si>
    <t>Momento vert</t>
  </si>
  <si>
    <t>Mto hor</t>
  </si>
  <si>
    <t>Nª</t>
  </si>
  <si>
    <t>m2</t>
  </si>
  <si>
    <t>kg/m3</t>
  </si>
  <si>
    <t>Kg/m</t>
  </si>
  <si>
    <t>Kg*m</t>
  </si>
  <si>
    <t>kg/m</t>
  </si>
  <si>
    <t>kg*m</t>
  </si>
  <si>
    <t>P1</t>
  </si>
  <si>
    <t>P3</t>
  </si>
  <si>
    <t>P5</t>
  </si>
  <si>
    <t>P6</t>
  </si>
  <si>
    <t>P7</t>
  </si>
  <si>
    <t>Mo=</t>
  </si>
  <si>
    <t>FACTORES DE SEGURIDAD</t>
  </si>
  <si>
    <t>tn*m</t>
  </si>
  <si>
    <t>VOLCAMIENTO</t>
  </si>
  <si>
    <t>F.S</t>
  </si>
  <si>
    <t>aplicación resultante pto. A</t>
  </si>
  <si>
    <t>b/3</t>
  </si>
  <si>
    <t>2b/3</t>
  </si>
  <si>
    <t>PRESION DE SUELO</t>
  </si>
  <si>
    <t>σadmisible</t>
  </si>
  <si>
    <t>Tn/m2</t>
  </si>
  <si>
    <t>σu</t>
  </si>
  <si>
    <t>e</t>
  </si>
  <si>
    <t>σ1</t>
  </si>
  <si>
    <t>σ2</t>
  </si>
  <si>
    <t>a</t>
  </si>
  <si>
    <t>σab</t>
  </si>
  <si>
    <t>R1</t>
  </si>
  <si>
    <t>R2</t>
  </si>
  <si>
    <t>Σfv</t>
  </si>
  <si>
    <t>kp</t>
  </si>
  <si>
    <t>ANALISIS ESTRUCTURAL</t>
  </si>
  <si>
    <t>PANTALLA</t>
  </si>
  <si>
    <t>Tn/m</t>
  </si>
  <si>
    <t>0.5*Ka*ﻻ*H^2</t>
  </si>
  <si>
    <t>h/3</t>
  </si>
  <si>
    <t>Es</t>
  </si>
  <si>
    <t>sobrecarga*Ka*(H)</t>
  </si>
  <si>
    <t>h/2</t>
  </si>
  <si>
    <t>Cortante</t>
  </si>
  <si>
    <t>Vu</t>
  </si>
  <si>
    <t>tn/M</t>
  </si>
  <si>
    <t>1.7*(Ea+Es)</t>
  </si>
  <si>
    <t>Φvc</t>
  </si>
  <si>
    <t>d</t>
  </si>
  <si>
    <t>cm</t>
  </si>
  <si>
    <t>(0.85*0.53*RAIZ(fc))</t>
  </si>
  <si>
    <t>vu</t>
  </si>
  <si>
    <t>Vu/d</t>
  </si>
  <si>
    <t>vu&lt;Φvc</t>
  </si>
  <si>
    <t>Flexion</t>
  </si>
  <si>
    <t>FVIVA</t>
  </si>
  <si>
    <t>FMUERTA</t>
  </si>
  <si>
    <t>DENSIDAD CONCRETO(TN/M3)</t>
  </si>
  <si>
    <t>Mu</t>
  </si>
  <si>
    <t>tn-mt</t>
  </si>
  <si>
    <t>ρdiseño</t>
  </si>
  <si>
    <t>Fy__/(0.85*fc__)</t>
  </si>
  <si>
    <t>As</t>
  </si>
  <si>
    <t>cm2</t>
  </si>
  <si>
    <t>Rn</t>
  </si>
  <si>
    <t>Mu*100000/(0.9*100*epant)</t>
  </si>
  <si>
    <t>Refuerzo vertical</t>
  </si>
  <si>
    <t>2Rn*m/fy</t>
  </si>
  <si>
    <t>separacion</t>
  </si>
  <si>
    <t>use S @</t>
  </si>
  <si>
    <t>1/m</t>
  </si>
  <si>
    <t>raiz(1-2Rn*m/fy)</t>
  </si>
  <si>
    <t>ρ</t>
  </si>
  <si>
    <t>pmin</t>
  </si>
  <si>
    <t>As temp</t>
  </si>
  <si>
    <t>(2 caras)</t>
  </si>
  <si>
    <t>θ</t>
  </si>
  <si>
    <t>As-cm2</t>
  </si>
  <si>
    <t>Refuerzo horizontal (retraccion)</t>
  </si>
  <si>
    <t>c/cara</t>
  </si>
  <si>
    <t>use s @</t>
  </si>
  <si>
    <t>DEDO</t>
  </si>
  <si>
    <t>Va-b</t>
  </si>
  <si>
    <t>tn</t>
  </si>
  <si>
    <t>N</t>
  </si>
  <si>
    <r>
      <t>ρ</t>
    </r>
    <r>
      <rPr>
        <sz val="10"/>
        <color indexed="9"/>
        <rFont val="Arial Narrow"/>
        <family val="2"/>
      </rPr>
      <t>diseño</t>
    </r>
  </si>
  <si>
    <t>Asdiseño</t>
  </si>
  <si>
    <t>TALON</t>
  </si>
  <si>
    <t>σce</t>
  </si>
  <si>
    <t>.=((TIERRA+AUTOS)*(talon/2))+(A162*peHA*CM*talon*(talon/2))-(E165*talon*(talon/2))-((C166-E165)*0.5*talon*(talon/3))</t>
  </si>
  <si>
    <t>refuerzo horizontal</t>
  </si>
  <si>
    <t>ρmin</t>
  </si>
  <si>
    <t>Asmin</t>
  </si>
  <si>
    <t>RESUMEN DISEÑO</t>
  </si>
  <si>
    <t>θ12</t>
  </si>
  <si>
    <t>c/</t>
  </si>
  <si>
    <t xml:space="preserve">Pos 1 </t>
  </si>
  <si>
    <t>Pos 2</t>
  </si>
  <si>
    <t>Pos 3</t>
  </si>
  <si>
    <t>θ16</t>
  </si>
  <si>
    <t>Pos 4</t>
  </si>
  <si>
    <t>Pos 5</t>
  </si>
  <si>
    <t>Pos 6</t>
  </si>
  <si>
    <t>Pos 7</t>
  </si>
  <si>
    <t>Pos 8</t>
  </si>
  <si>
    <t>θ10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</si>
</sst>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Arial Black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9"/>
      <name val="Comic Sans MS"/>
      <family val="4"/>
    </font>
    <font>
      <b/>
      <i/>
      <sz val="10"/>
      <name val="Arial"/>
      <family val="2"/>
    </font>
    <font>
      <b/>
      <i/>
      <sz val="10"/>
      <name val="Arial Narrow"/>
      <family val="2"/>
    </font>
    <font>
      <sz val="9"/>
      <name val="Calibri"/>
      <family val="2"/>
      <scheme val="minor"/>
    </font>
    <font>
      <sz val="10"/>
      <color theme="0"/>
      <name val="Arial Narrow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 Narrow"/>
      <family val="2"/>
    </font>
    <font>
      <sz val="8"/>
      <name val="Arial Black"/>
      <family val="2"/>
    </font>
    <font>
      <sz val="8"/>
      <color theme="0"/>
      <name val="Arial Blac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2" fillId="2" borderId="0" xfId="1" applyFont="1" applyFill="1"/>
    <xf numFmtId="0" fontId="1" fillId="2" borderId="0" xfId="1" applyFill="1"/>
    <xf numFmtId="0" fontId="3" fillId="3" borderId="1" xfId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left"/>
    </xf>
    <xf numFmtId="0" fontId="1" fillId="0" borderId="2" xfId="1" applyBorder="1"/>
    <xf numFmtId="0" fontId="1" fillId="0" borderId="3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4" borderId="5" xfId="1" applyFont="1" applyFill="1" applyBorder="1" applyAlignment="1">
      <alignment horizontal="left"/>
    </xf>
    <xf numFmtId="0" fontId="4" fillId="0" borderId="6" xfId="1" applyFont="1" applyBorder="1" applyAlignment="1">
      <alignment horizontal="right"/>
    </xf>
    <xf numFmtId="0" fontId="5" fillId="4" borderId="7" xfId="1" applyFont="1" applyFill="1" applyBorder="1" applyAlignment="1">
      <alignment horizontal="left"/>
    </xf>
    <xf numFmtId="0" fontId="3" fillId="3" borderId="1" xfId="1" applyFont="1" applyFill="1" applyBorder="1"/>
    <xf numFmtId="0" fontId="1" fillId="3" borderId="8" xfId="1" applyFill="1" applyBorder="1"/>
    <xf numFmtId="0" fontId="1" fillId="3" borderId="9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4" fillId="0" borderId="2" xfId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5" fillId="4" borderId="3" xfId="1" applyFont="1" applyFill="1" applyBorder="1" applyAlignment="1">
      <alignment horizontal="left"/>
    </xf>
    <xf numFmtId="2" fontId="7" fillId="0" borderId="0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left"/>
    </xf>
    <xf numFmtId="0" fontId="5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5" fillId="3" borderId="1" xfId="1" applyFont="1" applyFill="1" applyBorder="1"/>
    <xf numFmtId="0" fontId="5" fillId="3" borderId="9" xfId="1" applyFont="1" applyFill="1" applyBorder="1"/>
    <xf numFmtId="0" fontId="9" fillId="0" borderId="0" xfId="1" applyFont="1"/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1" fillId="0" borderId="0" xfId="1" applyFill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0" fontId="1" fillId="3" borderId="9" xfId="1" applyFill="1" applyBorder="1"/>
    <xf numFmtId="0" fontId="4" fillId="0" borderId="0" xfId="1" applyFont="1" applyBorder="1" applyAlignment="1">
      <alignment horizontal="left"/>
    </xf>
    <xf numFmtId="2" fontId="12" fillId="0" borderId="0" xfId="1" applyNumberFormat="1" applyFont="1" applyBorder="1" applyAlignment="1">
      <alignment horizontal="left"/>
    </xf>
    <xf numFmtId="164" fontId="13" fillId="0" borderId="0" xfId="1" applyNumberFormat="1" applyFont="1" applyBorder="1" applyAlignment="1">
      <alignment horizontal="left"/>
    </xf>
    <xf numFmtId="2" fontId="13" fillId="0" borderId="0" xfId="1" applyNumberFormat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2" fontId="14" fillId="0" borderId="12" xfId="1" applyNumberFormat="1" applyFont="1" applyBorder="1" applyAlignment="1">
      <alignment horizontal="right"/>
    </xf>
    <xf numFmtId="2" fontId="14" fillId="0" borderId="12" xfId="1" applyNumberFormat="1" applyFont="1" applyBorder="1"/>
    <xf numFmtId="2" fontId="14" fillId="0" borderId="0" xfId="1" applyNumberFormat="1" applyFont="1"/>
    <xf numFmtId="2" fontId="14" fillId="0" borderId="0" xfId="1" applyNumberFormat="1" applyFont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2" fontId="14" fillId="0" borderId="0" xfId="1" applyNumberFormat="1" applyFont="1" applyBorder="1"/>
    <xf numFmtId="2" fontId="4" fillId="0" borderId="12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left"/>
    </xf>
    <xf numFmtId="0" fontId="1" fillId="0" borderId="0" xfId="1" applyAlignment="1">
      <alignment horizontal="right"/>
    </xf>
    <xf numFmtId="2" fontId="1" fillId="0" borderId="0" xfId="1" applyNumberFormat="1"/>
    <xf numFmtId="2" fontId="10" fillId="0" borderId="12" xfId="1" applyNumberFormat="1" applyFont="1" applyBorder="1" applyAlignment="1">
      <alignment horizontal="center"/>
    </xf>
    <xf numFmtId="2" fontId="5" fillId="0" borderId="12" xfId="1" applyNumberFormat="1" applyFont="1" applyBorder="1" applyAlignment="1">
      <alignment horizontal="left"/>
    </xf>
    <xf numFmtId="0" fontId="5" fillId="0" borderId="0" xfId="1" applyFont="1" applyBorder="1"/>
    <xf numFmtId="164" fontId="15" fillId="0" borderId="0" xfId="1" applyNumberFormat="1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4" fillId="0" borderId="0" xfId="1" applyNumberFormat="1" applyFont="1" applyBorder="1" applyAlignment="1"/>
    <xf numFmtId="2" fontId="4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1" fillId="0" borderId="0" xfId="1" applyFont="1"/>
    <xf numFmtId="2" fontId="1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0" fontId="17" fillId="0" borderId="0" xfId="1" applyFont="1"/>
    <xf numFmtId="165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left"/>
    </xf>
    <xf numFmtId="2" fontId="10" fillId="0" borderId="0" xfId="1" applyNumberFormat="1" applyFont="1" applyBorder="1" applyAlignment="1">
      <alignment horizontal="left"/>
    </xf>
    <xf numFmtId="165" fontId="4" fillId="0" borderId="12" xfId="1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" fontId="10" fillId="0" borderId="0" xfId="1" applyNumberFormat="1" applyFont="1" applyBorder="1" applyAlignment="1">
      <alignment horizontal="left"/>
    </xf>
    <xf numFmtId="1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2" fontId="15" fillId="0" borderId="0" xfId="1" applyNumberFormat="1" applyFont="1" applyFill="1" applyBorder="1" applyAlignment="1">
      <alignment horizontal="left"/>
    </xf>
    <xf numFmtId="0" fontId="15" fillId="0" borderId="0" xfId="1" applyNumberFormat="1" applyFont="1" applyFill="1" applyBorder="1" applyAlignment="1">
      <alignment horizontal="right"/>
    </xf>
    <xf numFmtId="166" fontId="4" fillId="0" borderId="12" xfId="1" applyNumberFormat="1" applyFont="1" applyBorder="1" applyAlignment="1">
      <alignment horizontal="center"/>
    </xf>
    <xf numFmtId="2" fontId="17" fillId="0" borderId="0" xfId="1" applyNumberFormat="1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5" fillId="0" borderId="0" xfId="1" applyNumberFormat="1" applyFont="1" applyBorder="1" applyAlignment="1">
      <alignment horizontal="center"/>
    </xf>
    <xf numFmtId="166" fontId="1" fillId="0" borderId="12" xfId="1" applyNumberFormat="1" applyFont="1" applyBorder="1" applyAlignment="1">
      <alignment horizontal="left"/>
    </xf>
    <xf numFmtId="167" fontId="4" fillId="0" borderId="12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left"/>
    </xf>
    <xf numFmtId="1" fontId="1" fillId="0" borderId="12" xfId="1" applyNumberFormat="1" applyFont="1" applyBorder="1" applyAlignment="1">
      <alignment horizontal="left"/>
    </xf>
    <xf numFmtId="0" fontId="19" fillId="0" borderId="0" xfId="1" applyFont="1" applyAlignment="1">
      <alignment horizontal="left"/>
    </xf>
    <xf numFmtId="1" fontId="13" fillId="0" borderId="0" xfId="1" applyNumberFormat="1" applyFont="1" applyBorder="1" applyAlignment="1">
      <alignment horizontal="right"/>
    </xf>
    <xf numFmtId="1" fontId="13" fillId="0" borderId="0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left"/>
    </xf>
    <xf numFmtId="1" fontId="1" fillId="0" borderId="0" xfId="1" applyNumberFormat="1"/>
    <xf numFmtId="0" fontId="1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2" fillId="5" borderId="0" xfId="1" applyFont="1" applyFill="1"/>
    <xf numFmtId="0" fontId="9" fillId="5" borderId="0" xfId="1" applyFont="1" applyFill="1" applyBorder="1"/>
    <xf numFmtId="0" fontId="12" fillId="5" borderId="0" xfId="1" applyFont="1" applyFill="1" applyAlignment="1">
      <alignment horizontal="left"/>
    </xf>
    <xf numFmtId="2" fontId="10" fillId="5" borderId="0" xfId="1" applyNumberFormat="1" applyFont="1" applyFill="1" applyBorder="1" applyAlignment="1">
      <alignment horizontal="center"/>
    </xf>
    <xf numFmtId="2" fontId="4" fillId="5" borderId="0" xfId="1" applyNumberFormat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" fillId="5" borderId="0" xfId="1" applyFill="1"/>
    <xf numFmtId="0" fontId="4" fillId="0" borderId="0" xfId="1" applyFont="1" applyFill="1" applyBorder="1" applyAlignment="1">
      <alignment horizontal="center" vertical="center" shrinkToFit="1"/>
    </xf>
    <xf numFmtId="0" fontId="4" fillId="0" borderId="12" xfId="1" applyFont="1" applyBorder="1" applyAlignment="1">
      <alignment horizontal="center"/>
    </xf>
    <xf numFmtId="2" fontId="14" fillId="0" borderId="13" xfId="1" applyNumberFormat="1" applyFont="1" applyBorder="1" applyAlignment="1">
      <alignment horizontal="center"/>
    </xf>
    <xf numFmtId="2" fontId="14" fillId="0" borderId="14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justify" vertical="center" wrapText="1" shrinkToFit="1"/>
    </xf>
    <xf numFmtId="0" fontId="17" fillId="0" borderId="0" xfId="1" applyFont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152400</xdr:rowOff>
    </xdr:from>
    <xdr:to>
      <xdr:col>1</xdr:col>
      <xdr:colOff>9525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2975" y="9144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16</xdr:row>
      <xdr:rowOff>152400</xdr:rowOff>
    </xdr:from>
    <xdr:to>
      <xdr:col>1</xdr:col>
      <xdr:colOff>0</xdr:colOff>
      <xdr:row>16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09550" y="29622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17</xdr:row>
      <xdr:rowOff>0</xdr:rowOff>
    </xdr:from>
    <xdr:to>
      <xdr:col>0</xdr:col>
      <xdr:colOff>209550</xdr:colOff>
      <xdr:row>18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09550" y="29813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9525</xdr:colOff>
      <xdr:row>19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190750" y="2990850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9525</xdr:rowOff>
    </xdr:from>
    <xdr:to>
      <xdr:col>2</xdr:col>
      <xdr:colOff>752475</xdr:colOff>
      <xdr:row>17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428750" y="29908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</xdr:row>
      <xdr:rowOff>0</xdr:rowOff>
    </xdr:from>
    <xdr:to>
      <xdr:col>3</xdr:col>
      <xdr:colOff>742950</xdr:colOff>
      <xdr:row>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238250" y="923925"/>
          <a:ext cx="1695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4</xdr:row>
      <xdr:rowOff>0</xdr:rowOff>
    </xdr:from>
    <xdr:to>
      <xdr:col>1</xdr:col>
      <xdr:colOff>304800</xdr:colOff>
      <xdr:row>4</xdr:row>
      <xdr:rowOff>152400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1228725" y="762000"/>
          <a:ext cx="9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4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247775" y="77152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0</xdr:colOff>
      <xdr:row>5</xdr:row>
      <xdr:rowOff>9525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933700" y="781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17</xdr:row>
      <xdr:rowOff>0</xdr:rowOff>
    </xdr:from>
    <xdr:to>
      <xdr:col>2</xdr:col>
      <xdr:colOff>0</xdr:colOff>
      <xdr:row>17</xdr:row>
      <xdr:rowOff>9525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1428750" y="298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09550" y="2647950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17</xdr:row>
      <xdr:rowOff>9525</xdr:rowOff>
    </xdr:from>
    <xdr:to>
      <xdr:col>3</xdr:col>
      <xdr:colOff>190500</xdr:colOff>
      <xdr:row>18</xdr:row>
      <xdr:rowOff>152400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381250" y="2990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238125</xdr:colOff>
      <xdr:row>5</xdr:row>
      <xdr:rowOff>0</xdr:rowOff>
    </xdr:from>
    <xdr:to>
      <xdr:col>4</xdr:col>
      <xdr:colOff>247650</xdr:colOff>
      <xdr:row>19</xdr:row>
      <xdr:rowOff>0</xdr:rowOff>
    </xdr:to>
    <xdr:sp macro="" textlink="">
      <xdr:nvSpPr>
        <xdr:cNvPr id="14" name="Lin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>
          <a:off x="3171825" y="9239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219075</xdr:colOff>
      <xdr:row>21</xdr:row>
      <xdr:rowOff>0</xdr:rowOff>
    </xdr:from>
    <xdr:to>
      <xdr:col>0</xdr:col>
      <xdr:colOff>752475</xdr:colOff>
      <xdr:row>21</xdr:row>
      <xdr:rowOff>0</xdr:rowOff>
    </xdr:to>
    <xdr:sp macro="" textlink="">
      <xdr:nvSpPr>
        <xdr:cNvPr id="15" name="Lin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19075" y="36290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504825</xdr:colOff>
      <xdr:row>21</xdr:row>
      <xdr:rowOff>19050</xdr:rowOff>
    </xdr:from>
    <xdr:to>
      <xdr:col>3</xdr:col>
      <xdr:colOff>9525</xdr:colOff>
      <xdr:row>21</xdr:row>
      <xdr:rowOff>19050</xdr:rowOff>
    </xdr:to>
    <xdr:sp macro="" textlink="">
      <xdr:nvSpPr>
        <xdr:cNvPr id="16" name="Line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428750" y="36480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304800</xdr:colOff>
      <xdr:row>11</xdr:row>
      <xdr:rowOff>104775</xdr:rowOff>
    </xdr:from>
    <xdr:to>
      <xdr:col>4</xdr:col>
      <xdr:colOff>28575</xdr:colOff>
      <xdr:row>13</xdr:row>
      <xdr:rowOff>114300</xdr:rowOff>
    </xdr:to>
    <xdr:sp macro="" textlink="">
      <xdr:nvSpPr>
        <xdr:cNvPr id="17" name="Rectangle 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495550" y="2000250"/>
          <a:ext cx="466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Altura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H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ura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3</xdr:col>
      <xdr:colOff>247650</xdr:colOff>
      <xdr:row>17</xdr:row>
      <xdr:rowOff>0</xdr:rowOff>
    </xdr:from>
    <xdr:to>
      <xdr:col>4</xdr:col>
      <xdr:colOff>57150</xdr:colOff>
      <xdr:row>19</xdr:row>
      <xdr:rowOff>28575</xdr:rowOff>
    </xdr:to>
    <xdr:sp macro="" textlink="">
      <xdr:nvSpPr>
        <xdr:cNvPr id="18" name="Rectangle 2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438400" y="2981325"/>
          <a:ext cx="5524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espesor zapata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22</xdr:row>
      <xdr:rowOff>9525</xdr:rowOff>
    </xdr:from>
    <xdr:to>
      <xdr:col>3</xdr:col>
      <xdr:colOff>0</xdr:colOff>
      <xdr:row>22</xdr:row>
      <xdr:rowOff>9525</xdr:rowOff>
    </xdr:to>
    <xdr:sp macro="" textlink="">
      <xdr:nvSpPr>
        <xdr:cNvPr id="19" name="Line 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66700" y="38004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209550</xdr:colOff>
      <xdr:row>22</xdr:row>
      <xdr:rowOff>66674</xdr:rowOff>
    </xdr:from>
    <xdr:to>
      <xdr:col>2</xdr:col>
      <xdr:colOff>161925</xdr:colOff>
      <xdr:row>23</xdr:row>
      <xdr:rowOff>152400</xdr:rowOff>
    </xdr:to>
    <xdr:sp macro="" textlink="">
      <xdr:nvSpPr>
        <xdr:cNvPr id="20" name="Rectangle 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143000" y="3857624"/>
          <a:ext cx="447675" cy="257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Base L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19</xdr:row>
      <xdr:rowOff>104775</xdr:rowOff>
    </xdr:from>
    <xdr:to>
      <xdr:col>0</xdr:col>
      <xdr:colOff>638175</xdr:colOff>
      <xdr:row>20</xdr:row>
      <xdr:rowOff>95250</xdr:rowOff>
    </xdr:to>
    <xdr:sp macro="" textlink="">
      <xdr:nvSpPr>
        <xdr:cNvPr id="21" name="Rectangle 2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28600" y="3409950"/>
          <a:ext cx="4095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Dedo</a:t>
          </a:r>
        </a:p>
      </xdr:txBody>
    </xdr:sp>
    <xdr:clientData/>
  </xdr:twoCellAnchor>
  <xdr:twoCellAnchor>
    <xdr:from>
      <xdr:col>2</xdr:col>
      <xdr:colOff>28575</xdr:colOff>
      <xdr:row>19</xdr:row>
      <xdr:rowOff>95250</xdr:rowOff>
    </xdr:from>
    <xdr:to>
      <xdr:col>2</xdr:col>
      <xdr:colOff>447675</xdr:colOff>
      <xdr:row>20</xdr:row>
      <xdr:rowOff>95250</xdr:rowOff>
    </xdr:to>
    <xdr:sp macro="" textlink="">
      <xdr:nvSpPr>
        <xdr:cNvPr id="22" name="Rectangle 2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457325" y="3400425"/>
          <a:ext cx="4191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Talon</a:t>
          </a:r>
        </a:p>
      </xdr:txBody>
    </xdr:sp>
    <xdr:clientData/>
  </xdr:twoCellAnchor>
  <xdr:twoCellAnchor>
    <xdr:from>
      <xdr:col>1</xdr:col>
      <xdr:colOff>85725</xdr:colOff>
      <xdr:row>2</xdr:row>
      <xdr:rowOff>85725</xdr:rowOff>
    </xdr:from>
    <xdr:to>
      <xdr:col>1</xdr:col>
      <xdr:colOff>266700</xdr:colOff>
      <xdr:row>3</xdr:row>
      <xdr:rowOff>85725</xdr:rowOff>
    </xdr:to>
    <xdr:sp macro="" textlink="">
      <xdr:nvSpPr>
        <xdr:cNvPr id="23" name="Rectangle 2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019175" y="514350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</xdr:col>
      <xdr:colOff>104775</xdr:colOff>
      <xdr:row>15</xdr:row>
      <xdr:rowOff>142875</xdr:rowOff>
    </xdr:from>
    <xdr:to>
      <xdr:col>1</xdr:col>
      <xdr:colOff>381000</xdr:colOff>
      <xdr:row>16</xdr:row>
      <xdr:rowOff>114300</xdr:rowOff>
    </xdr:to>
    <xdr:sp macro="" textlink="">
      <xdr:nvSpPr>
        <xdr:cNvPr id="24" name="Rectangle 3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038225" y="2790825"/>
          <a:ext cx="2762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b</a:t>
          </a:r>
        </a:p>
      </xdr:txBody>
    </xdr:sp>
    <xdr:clientData/>
  </xdr:twoCellAnchor>
  <xdr:twoCellAnchor>
    <xdr:from>
      <xdr:col>0</xdr:col>
      <xdr:colOff>342900</xdr:colOff>
      <xdr:row>15</xdr:row>
      <xdr:rowOff>95250</xdr:rowOff>
    </xdr:from>
    <xdr:to>
      <xdr:col>0</xdr:col>
      <xdr:colOff>542925</xdr:colOff>
      <xdr:row>16</xdr:row>
      <xdr:rowOff>66675</xdr:rowOff>
    </xdr:to>
    <xdr:sp macro="" textlink="">
      <xdr:nvSpPr>
        <xdr:cNvPr id="25" name="Rectangle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42900" y="2743200"/>
          <a:ext cx="2000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0</xdr:col>
      <xdr:colOff>66675</xdr:colOff>
      <xdr:row>9</xdr:row>
      <xdr:rowOff>9525</xdr:rowOff>
    </xdr:from>
    <xdr:to>
      <xdr:col>0</xdr:col>
      <xdr:colOff>704850</xdr:colOff>
      <xdr:row>12</xdr:row>
      <xdr:rowOff>9525</xdr:rowOff>
    </xdr:to>
    <xdr:sp macro="" textlink="">
      <xdr:nvSpPr>
        <xdr:cNvPr id="26" name="Rectangle 3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66675" y="1581150"/>
          <a:ext cx="6381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altura suelo pasivo pasivo pasivo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2</xdr:row>
      <xdr:rowOff>104775</xdr:rowOff>
    </xdr:from>
    <xdr:to>
      <xdr:col>3</xdr:col>
      <xdr:colOff>352425</xdr:colOff>
      <xdr:row>3</xdr:row>
      <xdr:rowOff>133350</xdr:rowOff>
    </xdr:to>
    <xdr:sp macro="" textlink="">
      <xdr:nvSpPr>
        <xdr:cNvPr id="27" name="Rectangle 3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695450" y="533400"/>
          <a:ext cx="8477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sobrecarga w</a:t>
          </a:r>
        </a:p>
      </xdr:txBody>
    </xdr:sp>
    <xdr:clientData/>
  </xdr:twoCellAnchor>
  <xdr:twoCellAnchor>
    <xdr:from>
      <xdr:col>1</xdr:col>
      <xdr:colOff>533400</xdr:colOff>
      <xdr:row>4</xdr:row>
      <xdr:rowOff>9525</xdr:rowOff>
    </xdr:from>
    <xdr:to>
      <xdr:col>1</xdr:col>
      <xdr:colOff>495300</xdr:colOff>
      <xdr:row>4</xdr:row>
      <xdr:rowOff>152400</xdr:rowOff>
    </xdr:to>
    <xdr:sp macro="" textlink="">
      <xdr:nvSpPr>
        <xdr:cNvPr id="28" name="Line 3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428750" y="7715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19050</xdr:colOff>
      <xdr:row>5</xdr:row>
      <xdr:rowOff>0</xdr:rowOff>
    </xdr:to>
    <xdr:sp macro="" textlink="">
      <xdr:nvSpPr>
        <xdr:cNvPr id="29" name="Line 3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447800" y="7905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342900</xdr:colOff>
      <xdr:row>4</xdr:row>
      <xdr:rowOff>9525</xdr:rowOff>
    </xdr:from>
    <xdr:to>
      <xdr:col>2</xdr:col>
      <xdr:colOff>361950</xdr:colOff>
      <xdr:row>4</xdr:row>
      <xdr:rowOff>152400</xdr:rowOff>
    </xdr:to>
    <xdr:sp macro="" textlink="">
      <xdr:nvSpPr>
        <xdr:cNvPr id="30" name="Line 3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771650" y="771525"/>
          <a:ext cx="190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752475</xdr:colOff>
      <xdr:row>4</xdr:row>
      <xdr:rowOff>19050</xdr:rowOff>
    </xdr:from>
    <xdr:to>
      <xdr:col>2</xdr:col>
      <xdr:colOff>752475</xdr:colOff>
      <xdr:row>4</xdr:row>
      <xdr:rowOff>152400</xdr:rowOff>
    </xdr:to>
    <xdr:sp macro="" textlink="">
      <xdr:nvSpPr>
        <xdr:cNvPr id="31" name="Line 3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181225" y="7810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419100</xdr:colOff>
      <xdr:row>4</xdr:row>
      <xdr:rowOff>9525</xdr:rowOff>
    </xdr:from>
    <xdr:to>
      <xdr:col>3</xdr:col>
      <xdr:colOff>428625</xdr:colOff>
      <xdr:row>5</xdr:row>
      <xdr:rowOff>0</xdr:rowOff>
    </xdr:to>
    <xdr:sp macro="" textlink="">
      <xdr:nvSpPr>
        <xdr:cNvPr id="32" name="Line 3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H="1">
          <a:off x="2609850" y="771525"/>
          <a:ext cx="9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628650</xdr:colOff>
      <xdr:row>15</xdr:row>
      <xdr:rowOff>9525</xdr:rowOff>
    </xdr:from>
    <xdr:to>
      <xdr:col>0</xdr:col>
      <xdr:colOff>628650</xdr:colOff>
      <xdr:row>16</xdr:row>
      <xdr:rowOff>142875</xdr:rowOff>
    </xdr:to>
    <xdr:sp macro="" textlink="">
      <xdr:nvSpPr>
        <xdr:cNvPr id="33" name="Line 4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628650" y="26574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114300</xdr:colOff>
      <xdr:row>19</xdr:row>
      <xdr:rowOff>0</xdr:rowOff>
    </xdr:to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114300" y="26479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114300</xdr:colOff>
      <xdr:row>16</xdr:row>
      <xdr:rowOff>66675</xdr:rowOff>
    </xdr:from>
    <xdr:to>
      <xdr:col>0</xdr:col>
      <xdr:colOff>247650</xdr:colOff>
      <xdr:row>16</xdr:row>
      <xdr:rowOff>66675</xdr:rowOff>
    </xdr:to>
    <xdr:sp macro="" textlink="">
      <xdr:nvSpPr>
        <xdr:cNvPr id="35" name="Line 4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14300" y="28765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257175</xdr:colOff>
      <xdr:row>12</xdr:row>
      <xdr:rowOff>19050</xdr:rowOff>
    </xdr:from>
    <xdr:to>
      <xdr:col>0</xdr:col>
      <xdr:colOff>257175</xdr:colOff>
      <xdr:row>16</xdr:row>
      <xdr:rowOff>57150</xdr:rowOff>
    </xdr:to>
    <xdr:sp macro="" textlink="">
      <xdr:nvSpPr>
        <xdr:cNvPr id="36" name="Line 5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257175" y="208597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27</xdr:row>
      <xdr:rowOff>152400</xdr:rowOff>
    </xdr:from>
    <xdr:to>
      <xdr:col>1</xdr:col>
      <xdr:colOff>9525</xdr:colOff>
      <xdr:row>40</xdr:row>
      <xdr:rowOff>0</xdr:rowOff>
    </xdr:to>
    <xdr:sp macro="" textlink="">
      <xdr:nvSpPr>
        <xdr:cNvPr id="37" name="Line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942975" y="47910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39</xdr:row>
      <xdr:rowOff>152400</xdr:rowOff>
    </xdr:from>
    <xdr:to>
      <xdr:col>1</xdr:col>
      <xdr:colOff>0</xdr:colOff>
      <xdr:row>39</xdr:row>
      <xdr:rowOff>152400</xdr:rowOff>
    </xdr:to>
    <xdr:sp macro="" textlink="">
      <xdr:nvSpPr>
        <xdr:cNvPr id="38" name="Line 5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>
          <a:off x="209550" y="68199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40</xdr:row>
      <xdr:rowOff>0</xdr:rowOff>
    </xdr:from>
    <xdr:to>
      <xdr:col>0</xdr:col>
      <xdr:colOff>209550</xdr:colOff>
      <xdr:row>41</xdr:row>
      <xdr:rowOff>152400</xdr:rowOff>
    </xdr:to>
    <xdr:sp macro="" textlink="">
      <xdr:nvSpPr>
        <xdr:cNvPr id="39" name="Line 5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09550" y="68484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9525</xdr:rowOff>
    </xdr:from>
    <xdr:to>
      <xdr:col>3</xdr:col>
      <xdr:colOff>9525</xdr:colOff>
      <xdr:row>42</xdr:row>
      <xdr:rowOff>9525</xdr:rowOff>
    </xdr:to>
    <xdr:sp macro="" textlink="">
      <xdr:nvSpPr>
        <xdr:cNvPr id="40" name="Line 5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190750" y="6858000"/>
          <a:ext cx="9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9525</xdr:rowOff>
    </xdr:from>
    <xdr:to>
      <xdr:col>2</xdr:col>
      <xdr:colOff>752475</xdr:colOff>
      <xdr:row>40</xdr:row>
      <xdr:rowOff>9525</xdr:rowOff>
    </xdr:to>
    <xdr:sp macro="" textlink="">
      <xdr:nvSpPr>
        <xdr:cNvPr id="41" name="Line 5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428750" y="68580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42</xdr:row>
      <xdr:rowOff>0</xdr:rowOff>
    </xdr:from>
    <xdr:to>
      <xdr:col>1</xdr:col>
      <xdr:colOff>0</xdr:colOff>
      <xdr:row>42</xdr:row>
      <xdr:rowOff>9525</xdr:rowOff>
    </xdr:to>
    <xdr:sp macro="" textlink="">
      <xdr:nvSpPr>
        <xdr:cNvPr id="42" name="Line 5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200025" y="7239000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28</xdr:row>
      <xdr:rowOff>19050</xdr:rowOff>
    </xdr:from>
    <xdr:to>
      <xdr:col>1</xdr:col>
      <xdr:colOff>342900</xdr:colOff>
      <xdr:row>40</xdr:row>
      <xdr:rowOff>0</xdr:rowOff>
    </xdr:to>
    <xdr:sp macro="" textlink="">
      <xdr:nvSpPr>
        <xdr:cNvPr id="43" name="Line 5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228725" y="4819650"/>
          <a:ext cx="476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40</xdr:row>
      <xdr:rowOff>0</xdr:rowOff>
    </xdr:from>
    <xdr:to>
      <xdr:col>2</xdr:col>
      <xdr:colOff>0</xdr:colOff>
      <xdr:row>40</xdr:row>
      <xdr:rowOff>9525</xdr:rowOff>
    </xdr:to>
    <xdr:sp macro="" textlink="">
      <xdr:nvSpPr>
        <xdr:cNvPr id="44" name="Line 5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1428750" y="6848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495300</xdr:colOff>
      <xdr:row>44</xdr:row>
      <xdr:rowOff>19050</xdr:rowOff>
    </xdr:to>
    <xdr:sp macro="" textlink="">
      <xdr:nvSpPr>
        <xdr:cNvPr id="45" name="Line 6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933450" y="76104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42</xdr:row>
      <xdr:rowOff>0</xdr:rowOff>
    </xdr:from>
    <xdr:to>
      <xdr:col>3</xdr:col>
      <xdr:colOff>9525</xdr:colOff>
      <xdr:row>42</xdr:row>
      <xdr:rowOff>19050</xdr:rowOff>
    </xdr:to>
    <xdr:sp macro="" textlink="">
      <xdr:nvSpPr>
        <xdr:cNvPr id="46" name="Line 6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1428750" y="7239000"/>
          <a:ext cx="771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38</xdr:row>
      <xdr:rowOff>0</xdr:rowOff>
    </xdr:from>
    <xdr:to>
      <xdr:col>1</xdr:col>
      <xdr:colOff>9525</xdr:colOff>
      <xdr:row>38</xdr:row>
      <xdr:rowOff>9525</xdr:rowOff>
    </xdr:to>
    <xdr:sp macro="" textlink="">
      <xdr:nvSpPr>
        <xdr:cNvPr id="47" name="Line 6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09550" y="646747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40</xdr:row>
      <xdr:rowOff>9525</xdr:rowOff>
    </xdr:from>
    <xdr:to>
      <xdr:col>3</xdr:col>
      <xdr:colOff>190500</xdr:colOff>
      <xdr:row>41</xdr:row>
      <xdr:rowOff>152400</xdr:rowOff>
    </xdr:to>
    <xdr:sp macro="" textlink="">
      <xdr:nvSpPr>
        <xdr:cNvPr id="48" name="Line 6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381250" y="68580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238125</xdr:colOff>
      <xdr:row>28</xdr:row>
      <xdr:rowOff>0</xdr:rowOff>
    </xdr:from>
    <xdr:to>
      <xdr:col>4</xdr:col>
      <xdr:colOff>247650</xdr:colOff>
      <xdr:row>42</xdr:row>
      <xdr:rowOff>0</xdr:rowOff>
    </xdr:to>
    <xdr:sp macro="" textlink="">
      <xdr:nvSpPr>
        <xdr:cNvPr id="49" name="Line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H="1">
          <a:off x="3171825" y="4800600"/>
          <a:ext cx="9525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504825</xdr:colOff>
      <xdr:row>44</xdr:row>
      <xdr:rowOff>19050</xdr:rowOff>
    </xdr:from>
    <xdr:to>
      <xdr:col>3</xdr:col>
      <xdr:colOff>9525</xdr:colOff>
      <xdr:row>44</xdr:row>
      <xdr:rowOff>19050</xdr:rowOff>
    </xdr:to>
    <xdr:sp macro="" textlink="">
      <xdr:nvSpPr>
        <xdr:cNvPr id="50" name="Line 6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428750" y="7610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266700</xdr:colOff>
      <xdr:row>45</xdr:row>
      <xdr:rowOff>9525</xdr:rowOff>
    </xdr:from>
    <xdr:to>
      <xdr:col>3</xdr:col>
      <xdr:colOff>0</xdr:colOff>
      <xdr:row>45</xdr:row>
      <xdr:rowOff>9525</xdr:rowOff>
    </xdr:to>
    <xdr:sp macro="" textlink="">
      <xdr:nvSpPr>
        <xdr:cNvPr id="51" name="Line 6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66700" y="77628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628650</xdr:colOff>
      <xdr:row>38</xdr:row>
      <xdr:rowOff>9525</xdr:rowOff>
    </xdr:from>
    <xdr:to>
      <xdr:col>0</xdr:col>
      <xdr:colOff>628650</xdr:colOff>
      <xdr:row>39</xdr:row>
      <xdr:rowOff>142875</xdr:rowOff>
    </xdr:to>
    <xdr:sp macro="" textlink="">
      <xdr:nvSpPr>
        <xdr:cNvPr id="52" name="Line 6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628650" y="64770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0</xdr:colOff>
      <xdr:row>4</xdr:row>
      <xdr:rowOff>19050</xdr:rowOff>
    </xdr:from>
    <xdr:to>
      <xdr:col>1</xdr:col>
      <xdr:colOff>285750</xdr:colOff>
      <xdr:row>4</xdr:row>
      <xdr:rowOff>19050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933450" y="7810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1</xdr:col>
      <xdr:colOff>314325</xdr:colOff>
      <xdr:row>5</xdr:row>
      <xdr:rowOff>9525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933450" y="9334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304800</xdr:colOff>
      <xdr:row>27</xdr:row>
      <xdr:rowOff>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933450" y="46386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295275</xdr:colOff>
      <xdr:row>28</xdr:row>
      <xdr:rowOff>9525</xdr:rowOff>
    </xdr:to>
    <xdr:sp macro="" textlink="">
      <xdr:nvSpPr>
        <xdr:cNvPr id="56" name="Line 7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942975" y="48101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44</xdr:row>
      <xdr:rowOff>0</xdr:rowOff>
    </xdr:from>
    <xdr:to>
      <xdr:col>1</xdr:col>
      <xdr:colOff>9525</xdr:colOff>
      <xdr:row>44</xdr:row>
      <xdr:rowOff>9525</xdr:rowOff>
    </xdr:to>
    <xdr:sp macro="" textlink="">
      <xdr:nvSpPr>
        <xdr:cNvPr id="57" name="Line 7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09550" y="759142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9525</xdr:colOff>
      <xdr:row>51</xdr:row>
      <xdr:rowOff>152400</xdr:rowOff>
    </xdr:from>
    <xdr:to>
      <xdr:col>1</xdr:col>
      <xdr:colOff>9525</xdr:colOff>
      <xdr:row>64</xdr:row>
      <xdr:rowOff>0</xdr:rowOff>
    </xdr:to>
    <xdr:sp macro="" textlink="">
      <xdr:nvSpPr>
        <xdr:cNvPr id="58" name="Line 9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942975" y="897255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63</xdr:row>
      <xdr:rowOff>152400</xdr:rowOff>
    </xdr:from>
    <xdr:to>
      <xdr:col>1</xdr:col>
      <xdr:colOff>0</xdr:colOff>
      <xdr:row>63</xdr:row>
      <xdr:rowOff>152400</xdr:rowOff>
    </xdr:to>
    <xdr:sp macro="" textlink="">
      <xdr:nvSpPr>
        <xdr:cNvPr id="59" name="Line 9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H="1">
          <a:off x="209550" y="11058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64</xdr:row>
      <xdr:rowOff>0</xdr:rowOff>
    </xdr:from>
    <xdr:to>
      <xdr:col>0</xdr:col>
      <xdr:colOff>209550</xdr:colOff>
      <xdr:row>65</xdr:row>
      <xdr:rowOff>152400</xdr:rowOff>
    </xdr:to>
    <xdr:sp macro="" textlink="">
      <xdr:nvSpPr>
        <xdr:cNvPr id="60" name="Line 9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09550" y="110966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9525</xdr:rowOff>
    </xdr:from>
    <xdr:to>
      <xdr:col>3</xdr:col>
      <xdr:colOff>9525</xdr:colOff>
      <xdr:row>66</xdr:row>
      <xdr:rowOff>9525</xdr:rowOff>
    </xdr:to>
    <xdr:sp macro="" textlink="">
      <xdr:nvSpPr>
        <xdr:cNvPr id="61" name="Line 9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190750" y="11106150"/>
          <a:ext cx="95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64</xdr:row>
      <xdr:rowOff>9525</xdr:rowOff>
    </xdr:from>
    <xdr:to>
      <xdr:col>2</xdr:col>
      <xdr:colOff>752475</xdr:colOff>
      <xdr:row>64</xdr:row>
      <xdr:rowOff>9525</xdr:rowOff>
    </xdr:to>
    <xdr:sp macro="" textlink="">
      <xdr:nvSpPr>
        <xdr:cNvPr id="62" name="Line 9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1428750" y="111061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66</xdr:row>
      <xdr:rowOff>0</xdr:rowOff>
    </xdr:from>
    <xdr:to>
      <xdr:col>1</xdr:col>
      <xdr:colOff>0</xdr:colOff>
      <xdr:row>66</xdr:row>
      <xdr:rowOff>9525</xdr:rowOff>
    </xdr:to>
    <xdr:sp macro="" textlink="">
      <xdr:nvSpPr>
        <xdr:cNvPr id="63" name="Line 9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 flipV="1">
          <a:off x="200025" y="1147762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64</xdr:row>
      <xdr:rowOff>0</xdr:rowOff>
    </xdr:from>
    <xdr:to>
      <xdr:col>2</xdr:col>
      <xdr:colOff>0</xdr:colOff>
      <xdr:row>64</xdr:row>
      <xdr:rowOff>9525</xdr:rowOff>
    </xdr:to>
    <xdr:sp macro="" textlink="">
      <xdr:nvSpPr>
        <xdr:cNvPr id="64" name="Line 10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V="1">
          <a:off x="1428750" y="11096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5" name="Line 10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209550" y="1071562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64</xdr:row>
      <xdr:rowOff>47625</xdr:rowOff>
    </xdr:from>
    <xdr:to>
      <xdr:col>1</xdr:col>
      <xdr:colOff>495300</xdr:colOff>
      <xdr:row>64</xdr:row>
      <xdr:rowOff>57150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942975" y="11144250"/>
          <a:ext cx="485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190500</xdr:colOff>
      <xdr:row>64</xdr:row>
      <xdr:rowOff>9525</xdr:rowOff>
    </xdr:from>
    <xdr:to>
      <xdr:col>3</xdr:col>
      <xdr:colOff>190500</xdr:colOff>
      <xdr:row>65</xdr:row>
      <xdr:rowOff>152400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2381250" y="111061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619125</xdr:colOff>
      <xdr:row>52</xdr:row>
      <xdr:rowOff>57150</xdr:rowOff>
    </xdr:from>
    <xdr:to>
      <xdr:col>3</xdr:col>
      <xdr:colOff>628650</xdr:colOff>
      <xdr:row>66</xdr:row>
      <xdr:rowOff>57150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H="1">
          <a:off x="2809875" y="9067800"/>
          <a:ext cx="9525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504825</xdr:colOff>
      <xdr:row>67</xdr:row>
      <xdr:rowOff>19050</xdr:rowOff>
    </xdr:from>
    <xdr:to>
      <xdr:col>3</xdr:col>
      <xdr:colOff>9525</xdr:colOff>
      <xdr:row>67</xdr:row>
      <xdr:rowOff>19050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1428750" y="116871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628650</xdr:colOff>
      <xdr:row>62</xdr:row>
      <xdr:rowOff>9525</xdr:rowOff>
    </xdr:from>
    <xdr:to>
      <xdr:col>0</xdr:col>
      <xdr:colOff>628650</xdr:colOff>
      <xdr:row>63</xdr:row>
      <xdr:rowOff>142875</xdr:rowOff>
    </xdr:to>
    <xdr:sp macro="" textlink="">
      <xdr:nvSpPr>
        <xdr:cNvPr id="70" name="Line 11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628650" y="107251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295275</xdr:colOff>
      <xdr:row>52</xdr:row>
      <xdr:rowOff>9525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942975" y="90201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67</xdr:row>
      <xdr:rowOff>0</xdr:rowOff>
    </xdr:from>
    <xdr:to>
      <xdr:col>1</xdr:col>
      <xdr:colOff>9525</xdr:colOff>
      <xdr:row>67</xdr:row>
      <xdr:rowOff>9525</xdr:rowOff>
    </xdr:to>
    <xdr:sp macro="" textlink="">
      <xdr:nvSpPr>
        <xdr:cNvPr id="72" name="Line 11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209550" y="1166812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228600</xdr:colOff>
      <xdr:row>67</xdr:row>
      <xdr:rowOff>95250</xdr:rowOff>
    </xdr:from>
    <xdr:to>
      <xdr:col>2</xdr:col>
      <xdr:colOff>733425</xdr:colOff>
      <xdr:row>67</xdr:row>
      <xdr:rowOff>95250</xdr:rowOff>
    </xdr:to>
    <xdr:sp macro="" textlink="">
      <xdr:nvSpPr>
        <xdr:cNvPr id="73" name="Line 11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228600" y="117633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295275</xdr:colOff>
      <xdr:row>52</xdr:row>
      <xdr:rowOff>0</xdr:rowOff>
    </xdr:from>
    <xdr:to>
      <xdr:col>1</xdr:col>
      <xdr:colOff>495300</xdr:colOff>
      <xdr:row>52</xdr:row>
      <xdr:rowOff>0</xdr:rowOff>
    </xdr:to>
    <xdr:sp macro="" textlink="">
      <xdr:nvSpPr>
        <xdr:cNvPr id="74" name="Line 1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1228725" y="90106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52</xdr:row>
      <xdr:rowOff>0</xdr:rowOff>
    </xdr:from>
    <xdr:to>
      <xdr:col>1</xdr:col>
      <xdr:colOff>304800</xdr:colOff>
      <xdr:row>63</xdr:row>
      <xdr:rowOff>152400</xdr:rowOff>
    </xdr:to>
    <xdr:sp macro="" textlink="">
      <xdr:nvSpPr>
        <xdr:cNvPr id="75" name="Line 11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1228725" y="9010650"/>
          <a:ext cx="9525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58</xdr:row>
      <xdr:rowOff>152400</xdr:rowOff>
    </xdr:from>
    <xdr:to>
      <xdr:col>1</xdr:col>
      <xdr:colOff>114300</xdr:colOff>
      <xdr:row>59</xdr:row>
      <xdr:rowOff>171450</xdr:rowOff>
    </xdr:to>
    <xdr:sp macro="" textlink="">
      <xdr:nvSpPr>
        <xdr:cNvPr id="76" name="Line 11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1047750" y="101631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38100</xdr:colOff>
      <xdr:row>57</xdr:row>
      <xdr:rowOff>114300</xdr:rowOff>
    </xdr:from>
    <xdr:to>
      <xdr:col>1</xdr:col>
      <xdr:colOff>266700</xdr:colOff>
      <xdr:row>58</xdr:row>
      <xdr:rowOff>152400</xdr:rowOff>
    </xdr:to>
    <xdr:sp macro="" textlink="">
      <xdr:nvSpPr>
        <xdr:cNvPr id="77" name="Rectangle 11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971550" y="99345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P1</a:t>
          </a:r>
        </a:p>
      </xdr:txBody>
    </xdr:sp>
    <xdr:clientData/>
  </xdr:twoCellAnchor>
  <xdr:twoCellAnchor>
    <xdr:from>
      <xdr:col>1</xdr:col>
      <xdr:colOff>304800</xdr:colOff>
      <xdr:row>64</xdr:row>
      <xdr:rowOff>95250</xdr:rowOff>
    </xdr:from>
    <xdr:to>
      <xdr:col>1</xdr:col>
      <xdr:colOff>304800</xdr:colOff>
      <xdr:row>65</xdr:row>
      <xdr:rowOff>180975</xdr:rowOff>
    </xdr:to>
    <xdr:sp macro="" textlink="">
      <xdr:nvSpPr>
        <xdr:cNvPr id="78" name="Line 12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1238250" y="111918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390525</xdr:colOff>
      <xdr:row>65</xdr:row>
      <xdr:rowOff>19050</xdr:rowOff>
    </xdr:from>
    <xdr:to>
      <xdr:col>1</xdr:col>
      <xdr:colOff>695325</xdr:colOff>
      <xdr:row>65</xdr:row>
      <xdr:rowOff>171450</xdr:rowOff>
    </xdr:to>
    <xdr:sp macro="" textlink="">
      <xdr:nvSpPr>
        <xdr:cNvPr id="79" name="Rectangle 12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1323975" y="11306175"/>
          <a:ext cx="1047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P3</a:t>
          </a:r>
        </a:p>
      </xdr:txBody>
    </xdr:sp>
    <xdr:clientData/>
  </xdr:twoCellAnchor>
  <xdr:twoCellAnchor>
    <xdr:from>
      <xdr:col>2</xdr:col>
      <xdr:colOff>752475</xdr:colOff>
      <xdr:row>52</xdr:row>
      <xdr:rowOff>0</xdr:rowOff>
    </xdr:from>
    <xdr:to>
      <xdr:col>3</xdr:col>
      <xdr:colOff>0</xdr:colOff>
      <xdr:row>64</xdr:row>
      <xdr:rowOff>38100</xdr:rowOff>
    </xdr:to>
    <xdr:sp macro="" textlink="">
      <xdr:nvSpPr>
        <xdr:cNvPr id="80" name="Line 12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2181225" y="9010650"/>
          <a:ext cx="9525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52</xdr:row>
      <xdr:rowOff>0</xdr:rowOff>
    </xdr:from>
    <xdr:to>
      <xdr:col>3</xdr:col>
      <xdr:colOff>0</xdr:colOff>
      <xdr:row>52</xdr:row>
      <xdr:rowOff>9525</xdr:rowOff>
    </xdr:to>
    <xdr:sp macro="" textlink="">
      <xdr:nvSpPr>
        <xdr:cNvPr id="81" name="Line 12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1428750" y="9010650"/>
          <a:ext cx="762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209550</xdr:colOff>
      <xdr:row>58</xdr:row>
      <xdr:rowOff>57150</xdr:rowOff>
    </xdr:from>
    <xdr:to>
      <xdr:col>2</xdr:col>
      <xdr:colOff>209550</xdr:colOff>
      <xdr:row>59</xdr:row>
      <xdr:rowOff>161925</xdr:rowOff>
    </xdr:to>
    <xdr:sp macro="" textlink="">
      <xdr:nvSpPr>
        <xdr:cNvPr id="82" name="Line 12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1638300" y="100679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28575</xdr:colOff>
      <xdr:row>56</xdr:row>
      <xdr:rowOff>123825</xdr:rowOff>
    </xdr:from>
    <xdr:to>
      <xdr:col>2</xdr:col>
      <xdr:colOff>371475</xdr:colOff>
      <xdr:row>58</xdr:row>
      <xdr:rowOff>9525</xdr:rowOff>
    </xdr:to>
    <xdr:sp macro="" textlink="">
      <xdr:nvSpPr>
        <xdr:cNvPr id="83" name="Rectangle 12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1457325" y="9782175"/>
          <a:ext cx="3429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P5</a:t>
          </a:r>
        </a:p>
      </xdr:txBody>
    </xdr:sp>
    <xdr:clientData/>
  </xdr:twoCellAnchor>
  <xdr:twoCellAnchor>
    <xdr:from>
      <xdr:col>3</xdr:col>
      <xdr:colOff>209550</xdr:colOff>
      <xdr:row>52</xdr:row>
      <xdr:rowOff>28575</xdr:rowOff>
    </xdr:from>
    <xdr:to>
      <xdr:col>3</xdr:col>
      <xdr:colOff>209550</xdr:colOff>
      <xdr:row>63</xdr:row>
      <xdr:rowOff>133350</xdr:rowOff>
    </xdr:to>
    <xdr:sp macro="" textlink="">
      <xdr:nvSpPr>
        <xdr:cNvPr id="84" name="Line 12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2400300" y="9039225"/>
          <a:ext cx="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38100</xdr:colOff>
      <xdr:row>62</xdr:row>
      <xdr:rowOff>9525</xdr:rowOff>
    </xdr:from>
    <xdr:to>
      <xdr:col>0</xdr:col>
      <xdr:colOff>47625</xdr:colOff>
      <xdr:row>66</xdr:row>
      <xdr:rowOff>19050</xdr:rowOff>
    </xdr:to>
    <xdr:sp macro="" textlink="">
      <xdr:nvSpPr>
        <xdr:cNvPr id="85" name="Line 13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8100" y="10725150"/>
          <a:ext cx="952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209550</xdr:colOff>
      <xdr:row>65</xdr:row>
      <xdr:rowOff>152400</xdr:rowOff>
    </xdr:from>
    <xdr:to>
      <xdr:col>0</xdr:col>
      <xdr:colOff>209550</xdr:colOff>
      <xdr:row>66</xdr:row>
      <xdr:rowOff>9525</xdr:rowOff>
    </xdr:to>
    <xdr:sp macro="" textlink="">
      <xdr:nvSpPr>
        <xdr:cNvPr id="86" name="Line 1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209550" y="114395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63</xdr:row>
      <xdr:rowOff>152400</xdr:rowOff>
    </xdr:from>
    <xdr:to>
      <xdr:col>0</xdr:col>
      <xdr:colOff>200025</xdr:colOff>
      <xdr:row>64</xdr:row>
      <xdr:rowOff>9525</xdr:rowOff>
    </xdr:to>
    <xdr:sp macro="" textlink="">
      <xdr:nvSpPr>
        <xdr:cNvPr id="87" name="Line 13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200025" y="110585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64</xdr:row>
      <xdr:rowOff>161925</xdr:rowOff>
    </xdr:from>
    <xdr:to>
      <xdr:col>0</xdr:col>
      <xdr:colOff>428625</xdr:colOff>
      <xdr:row>65</xdr:row>
      <xdr:rowOff>171450</xdr:rowOff>
    </xdr:to>
    <xdr:sp macro="" textlink="">
      <xdr:nvSpPr>
        <xdr:cNvPr id="88" name="Oval 13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228600" y="1125855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314325</xdr:colOff>
      <xdr:row>59</xdr:row>
      <xdr:rowOff>114300</xdr:rowOff>
    </xdr:from>
    <xdr:to>
      <xdr:col>5</xdr:col>
      <xdr:colOff>9525</xdr:colOff>
      <xdr:row>60</xdr:row>
      <xdr:rowOff>0</xdr:rowOff>
    </xdr:to>
    <xdr:sp macro="" textlink="">
      <xdr:nvSpPr>
        <xdr:cNvPr id="89" name="AutoShape 13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3248025" y="10315575"/>
          <a:ext cx="457200" cy="76200"/>
        </a:xfrm>
        <a:prstGeom prst="leftArrow">
          <a:avLst>
            <a:gd name="adj1" fmla="val 50000"/>
            <a:gd name="adj2" fmla="val 1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752475</xdr:colOff>
      <xdr:row>60</xdr:row>
      <xdr:rowOff>57150</xdr:rowOff>
    </xdr:from>
    <xdr:to>
      <xdr:col>4</xdr:col>
      <xdr:colOff>752475</xdr:colOff>
      <xdr:row>65</xdr:row>
      <xdr:rowOff>180975</xdr:rowOff>
    </xdr:to>
    <xdr:sp macro="" textlink="">
      <xdr:nvSpPr>
        <xdr:cNvPr id="90" name="Line 13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3686175" y="104489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200025</xdr:colOff>
      <xdr:row>56</xdr:row>
      <xdr:rowOff>104775</xdr:rowOff>
    </xdr:from>
    <xdr:to>
      <xdr:col>5</xdr:col>
      <xdr:colOff>733425</xdr:colOff>
      <xdr:row>57</xdr:row>
      <xdr:rowOff>19050</xdr:rowOff>
    </xdr:to>
    <xdr:sp macro="" textlink="">
      <xdr:nvSpPr>
        <xdr:cNvPr id="91" name="AutoShape 13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3895725" y="9763125"/>
          <a:ext cx="533400" cy="76200"/>
        </a:xfrm>
        <a:prstGeom prst="leftArrow">
          <a:avLst>
            <a:gd name="adj1" fmla="val 50000"/>
            <a:gd name="adj2" fmla="val 1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752475</xdr:colOff>
      <xdr:row>56</xdr:row>
      <xdr:rowOff>133350</xdr:rowOff>
    </xdr:from>
    <xdr:to>
      <xdr:col>5</xdr:col>
      <xdr:colOff>752475</xdr:colOff>
      <xdr:row>65</xdr:row>
      <xdr:rowOff>180975</xdr:rowOff>
    </xdr:to>
    <xdr:sp macro="" textlink="">
      <xdr:nvSpPr>
        <xdr:cNvPr id="92" name="Line 13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4448175" y="9791700"/>
          <a:ext cx="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133350</xdr:colOff>
      <xdr:row>51</xdr:row>
      <xdr:rowOff>9525</xdr:rowOff>
    </xdr:from>
    <xdr:to>
      <xdr:col>2</xdr:col>
      <xdr:colOff>133350</xdr:colOff>
      <xdr:row>51</xdr:row>
      <xdr:rowOff>180975</xdr:rowOff>
    </xdr:to>
    <xdr:sp macro="" textlink="">
      <xdr:nvSpPr>
        <xdr:cNvPr id="93" name="Line 14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1562100" y="88296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295275</xdr:colOff>
      <xdr:row>51</xdr:row>
      <xdr:rowOff>9525</xdr:rowOff>
    </xdr:from>
    <xdr:to>
      <xdr:col>2</xdr:col>
      <xdr:colOff>533400</xdr:colOff>
      <xdr:row>52</xdr:row>
      <xdr:rowOff>19050</xdr:rowOff>
    </xdr:to>
    <xdr:sp macro="" textlink="">
      <xdr:nvSpPr>
        <xdr:cNvPr id="94" name="Rectangle 14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724025" y="8829675"/>
          <a:ext cx="2381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P6</a:t>
          </a:r>
        </a:p>
      </xdr:txBody>
    </xdr:sp>
    <xdr:clientData/>
  </xdr:twoCellAnchor>
  <xdr:twoCellAnchor>
    <xdr:from>
      <xdr:col>0</xdr:col>
      <xdr:colOff>952500</xdr:colOff>
      <xdr:row>90</xdr:row>
      <xdr:rowOff>9525</xdr:rowOff>
    </xdr:from>
    <xdr:to>
      <xdr:col>2</xdr:col>
      <xdr:colOff>0</xdr:colOff>
      <xdr:row>90</xdr:row>
      <xdr:rowOff>9525</xdr:rowOff>
    </xdr:to>
    <xdr:sp macro="" textlink="">
      <xdr:nvSpPr>
        <xdr:cNvPr id="95" name="Line 14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933450" y="154495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90</xdr:row>
      <xdr:rowOff>9525</xdr:rowOff>
    </xdr:from>
    <xdr:to>
      <xdr:col>1</xdr:col>
      <xdr:colOff>0</xdr:colOff>
      <xdr:row>92</xdr:row>
      <xdr:rowOff>0</xdr:rowOff>
    </xdr:to>
    <xdr:sp macro="" textlink="">
      <xdr:nvSpPr>
        <xdr:cNvPr id="96" name="Line 14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933450" y="15449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92</xdr:row>
      <xdr:rowOff>19050</xdr:rowOff>
    </xdr:from>
    <xdr:to>
      <xdr:col>3</xdr:col>
      <xdr:colOff>752475</xdr:colOff>
      <xdr:row>92</xdr:row>
      <xdr:rowOff>19050</xdr:rowOff>
    </xdr:to>
    <xdr:sp macro="" textlink="">
      <xdr:nvSpPr>
        <xdr:cNvPr id="97" name="Line 14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933450" y="157829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89</xdr:row>
      <xdr:rowOff>152400</xdr:rowOff>
    </xdr:from>
    <xdr:to>
      <xdr:col>4</xdr:col>
      <xdr:colOff>0</xdr:colOff>
      <xdr:row>92</xdr:row>
      <xdr:rowOff>9525</xdr:rowOff>
    </xdr:to>
    <xdr:sp macro="" textlink="">
      <xdr:nvSpPr>
        <xdr:cNvPr id="98" name="Line 1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2933700" y="154305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89</xdr:row>
      <xdr:rowOff>152400</xdr:rowOff>
    </xdr:from>
    <xdr:to>
      <xdr:col>4</xdr:col>
      <xdr:colOff>19050</xdr:colOff>
      <xdr:row>90</xdr:row>
      <xdr:rowOff>9525</xdr:rowOff>
    </xdr:to>
    <xdr:sp macro="" textlink="">
      <xdr:nvSpPr>
        <xdr:cNvPr id="99" name="Line 14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1828800" y="15430500"/>
          <a:ext cx="11239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9525</xdr:rowOff>
    </xdr:from>
    <xdr:to>
      <xdr:col>2</xdr:col>
      <xdr:colOff>0</xdr:colOff>
      <xdr:row>90</xdr:row>
      <xdr:rowOff>9525</xdr:rowOff>
    </xdr:to>
    <xdr:sp macro="" textlink="">
      <xdr:nvSpPr>
        <xdr:cNvPr id="100" name="Line 15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1428750" y="151257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88</xdr:row>
      <xdr:rowOff>0</xdr:rowOff>
    </xdr:from>
    <xdr:to>
      <xdr:col>2</xdr:col>
      <xdr:colOff>409575</xdr:colOff>
      <xdr:row>90</xdr:row>
      <xdr:rowOff>9525</xdr:rowOff>
    </xdr:to>
    <xdr:sp macro="" textlink="">
      <xdr:nvSpPr>
        <xdr:cNvPr id="101" name="Line 15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1838325" y="151161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93</xdr:row>
      <xdr:rowOff>9525</xdr:rowOff>
    </xdr:from>
    <xdr:to>
      <xdr:col>4</xdr:col>
      <xdr:colOff>19050</xdr:colOff>
      <xdr:row>93</xdr:row>
      <xdr:rowOff>9525</xdr:rowOff>
    </xdr:to>
    <xdr:sp macro="" textlink="">
      <xdr:nvSpPr>
        <xdr:cNvPr id="102" name="Line 15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933450" y="159353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93</xdr:row>
      <xdr:rowOff>9525</xdr:rowOff>
    </xdr:from>
    <xdr:to>
      <xdr:col>4</xdr:col>
      <xdr:colOff>9525</xdr:colOff>
      <xdr:row>94</xdr:row>
      <xdr:rowOff>0</xdr:rowOff>
    </xdr:to>
    <xdr:sp macro="" textlink="">
      <xdr:nvSpPr>
        <xdr:cNvPr id="103" name="Line 15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2943225" y="15935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93</xdr:row>
      <xdr:rowOff>0</xdr:rowOff>
    </xdr:from>
    <xdr:to>
      <xdr:col>0</xdr:col>
      <xdr:colOff>952500</xdr:colOff>
      <xdr:row>97</xdr:row>
      <xdr:rowOff>0</xdr:rowOff>
    </xdr:to>
    <xdr:sp macro="" textlink="">
      <xdr:nvSpPr>
        <xdr:cNvPr id="104" name="Line 15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933450" y="159258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93</xdr:row>
      <xdr:rowOff>142875</xdr:rowOff>
    </xdr:from>
    <xdr:to>
      <xdr:col>4</xdr:col>
      <xdr:colOff>9525</xdr:colOff>
      <xdr:row>96</xdr:row>
      <xdr:rowOff>152400</xdr:rowOff>
    </xdr:to>
    <xdr:sp macro="" textlink="">
      <xdr:nvSpPr>
        <xdr:cNvPr id="105" name="Line 15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V="1">
          <a:off x="933450" y="16068675"/>
          <a:ext cx="20097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93</xdr:row>
      <xdr:rowOff>9525</xdr:rowOff>
    </xdr:from>
    <xdr:to>
      <xdr:col>2</xdr:col>
      <xdr:colOff>0</xdr:colOff>
      <xdr:row>95</xdr:row>
      <xdr:rowOff>142875</xdr:rowOff>
    </xdr:to>
    <xdr:sp macro="" textlink="">
      <xdr:nvSpPr>
        <xdr:cNvPr id="106" name="Line 15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1428750" y="15935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95</xdr:row>
      <xdr:rowOff>28575</xdr:rowOff>
    </xdr:from>
    <xdr:to>
      <xdr:col>1</xdr:col>
      <xdr:colOff>371475</xdr:colOff>
      <xdr:row>97</xdr:row>
      <xdr:rowOff>38100</xdr:rowOff>
    </xdr:to>
    <xdr:sp macro="" textlink="">
      <xdr:nvSpPr>
        <xdr:cNvPr id="107" name="Line 15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 flipV="1">
          <a:off x="1304925" y="162782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647700</xdr:colOff>
      <xdr:row>95</xdr:row>
      <xdr:rowOff>19050</xdr:rowOff>
    </xdr:from>
    <xdr:to>
      <xdr:col>2</xdr:col>
      <xdr:colOff>647700</xdr:colOff>
      <xdr:row>96</xdr:row>
      <xdr:rowOff>142875</xdr:rowOff>
    </xdr:to>
    <xdr:sp macro="" textlink="">
      <xdr:nvSpPr>
        <xdr:cNvPr id="108" name="Line 15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2076450" y="162687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304800</xdr:colOff>
      <xdr:row>97</xdr:row>
      <xdr:rowOff>114300</xdr:rowOff>
    </xdr:from>
    <xdr:to>
      <xdr:col>1</xdr:col>
      <xdr:colOff>561975</xdr:colOff>
      <xdr:row>98</xdr:row>
      <xdr:rowOff>142875</xdr:rowOff>
    </xdr:to>
    <xdr:sp macro="" textlink="">
      <xdr:nvSpPr>
        <xdr:cNvPr id="109" name="Rectangle 15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1238250" y="1668780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R1</a:t>
          </a:r>
        </a:p>
      </xdr:txBody>
    </xdr:sp>
    <xdr:clientData/>
  </xdr:twoCellAnchor>
  <xdr:twoCellAnchor>
    <xdr:from>
      <xdr:col>2</xdr:col>
      <xdr:colOff>571500</xdr:colOff>
      <xdr:row>97</xdr:row>
      <xdr:rowOff>0</xdr:rowOff>
    </xdr:from>
    <xdr:to>
      <xdr:col>3</xdr:col>
      <xdr:colOff>76200</xdr:colOff>
      <xdr:row>98</xdr:row>
      <xdr:rowOff>57150</xdr:rowOff>
    </xdr:to>
    <xdr:sp macro="" textlink="">
      <xdr:nvSpPr>
        <xdr:cNvPr id="110" name="Rectangle 16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000250" y="16573500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R2</a:t>
          </a:r>
        </a:p>
      </xdr:txBody>
    </xdr:sp>
    <xdr:clientData/>
  </xdr:twoCellAnchor>
  <xdr:twoCellAnchor>
    <xdr:from>
      <xdr:col>1</xdr:col>
      <xdr:colOff>0</xdr:colOff>
      <xdr:row>92</xdr:row>
      <xdr:rowOff>142875</xdr:rowOff>
    </xdr:from>
    <xdr:to>
      <xdr:col>2</xdr:col>
      <xdr:colOff>0</xdr:colOff>
      <xdr:row>92</xdr:row>
      <xdr:rowOff>142875</xdr:rowOff>
    </xdr:to>
    <xdr:sp macro="" textlink="">
      <xdr:nvSpPr>
        <xdr:cNvPr id="111" name="Line 16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933450" y="159067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92</xdr:row>
      <xdr:rowOff>133350</xdr:rowOff>
    </xdr:from>
    <xdr:to>
      <xdr:col>3</xdr:col>
      <xdr:colOff>733425</xdr:colOff>
      <xdr:row>92</xdr:row>
      <xdr:rowOff>133350</xdr:rowOff>
    </xdr:to>
    <xdr:sp macro="" textlink="">
      <xdr:nvSpPr>
        <xdr:cNvPr id="112" name="Line 16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1428750" y="158972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923925</xdr:colOff>
      <xdr:row>99</xdr:row>
      <xdr:rowOff>28575</xdr:rowOff>
    </xdr:from>
    <xdr:to>
      <xdr:col>3</xdr:col>
      <xdr:colOff>733425</xdr:colOff>
      <xdr:row>99</xdr:row>
      <xdr:rowOff>28575</xdr:rowOff>
    </xdr:to>
    <xdr:sp macro="" textlink="">
      <xdr:nvSpPr>
        <xdr:cNvPr id="113" name="Line 1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923925" y="169259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933450</xdr:colOff>
      <xdr:row>135</xdr:row>
      <xdr:rowOff>0</xdr:rowOff>
    </xdr:from>
    <xdr:to>
      <xdr:col>1</xdr:col>
      <xdr:colOff>742950</xdr:colOff>
      <xdr:row>135</xdr:row>
      <xdr:rowOff>0</xdr:rowOff>
    </xdr:to>
    <xdr:sp macro="" textlink="">
      <xdr:nvSpPr>
        <xdr:cNvPr id="114" name="Line 16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933450" y="227457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135</xdr:row>
      <xdr:rowOff>9525</xdr:rowOff>
    </xdr:from>
    <xdr:to>
      <xdr:col>1</xdr:col>
      <xdr:colOff>0</xdr:colOff>
      <xdr:row>137</xdr:row>
      <xdr:rowOff>0</xdr:rowOff>
    </xdr:to>
    <xdr:sp macro="" textlink="">
      <xdr:nvSpPr>
        <xdr:cNvPr id="115" name="Line 16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933450" y="227552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137</xdr:row>
      <xdr:rowOff>19050</xdr:rowOff>
    </xdr:from>
    <xdr:to>
      <xdr:col>3</xdr:col>
      <xdr:colOff>752475</xdr:colOff>
      <xdr:row>137</xdr:row>
      <xdr:rowOff>19050</xdr:rowOff>
    </xdr:to>
    <xdr:sp macro="" textlink="">
      <xdr:nvSpPr>
        <xdr:cNvPr id="116" name="Line 16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933450" y="231171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134</xdr:row>
      <xdr:rowOff>152400</xdr:rowOff>
    </xdr:from>
    <xdr:to>
      <xdr:col>4</xdr:col>
      <xdr:colOff>0</xdr:colOff>
      <xdr:row>137</xdr:row>
      <xdr:rowOff>9525</xdr:rowOff>
    </xdr:to>
    <xdr:sp macro="" textlink="">
      <xdr:nvSpPr>
        <xdr:cNvPr id="117" name="Line 16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 flipV="1">
          <a:off x="2933700" y="227361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134</xdr:row>
      <xdr:rowOff>152400</xdr:rowOff>
    </xdr:from>
    <xdr:to>
      <xdr:col>4</xdr:col>
      <xdr:colOff>19050</xdr:colOff>
      <xdr:row>135</xdr:row>
      <xdr:rowOff>9525</xdr:rowOff>
    </xdr:to>
    <xdr:sp macro="" textlink="">
      <xdr:nvSpPr>
        <xdr:cNvPr id="118" name="Line 16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 flipH="1">
          <a:off x="1828800" y="22736175"/>
          <a:ext cx="11239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133</xdr:row>
      <xdr:rowOff>9525</xdr:rowOff>
    </xdr:from>
    <xdr:to>
      <xdr:col>2</xdr:col>
      <xdr:colOff>0</xdr:colOff>
      <xdr:row>135</xdr:row>
      <xdr:rowOff>9525</xdr:rowOff>
    </xdr:to>
    <xdr:sp macro="" textlink="">
      <xdr:nvSpPr>
        <xdr:cNvPr id="119" name="Line 16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 flipV="1">
          <a:off x="1428750" y="224313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132</xdr:row>
      <xdr:rowOff>152400</xdr:rowOff>
    </xdr:from>
    <xdr:to>
      <xdr:col>2</xdr:col>
      <xdr:colOff>409575</xdr:colOff>
      <xdr:row>135</xdr:row>
      <xdr:rowOff>9525</xdr:rowOff>
    </xdr:to>
    <xdr:sp macro="" textlink="">
      <xdr:nvSpPr>
        <xdr:cNvPr id="120" name="Line 17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 flipV="1">
          <a:off x="1838325" y="224123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139</xdr:row>
      <xdr:rowOff>9525</xdr:rowOff>
    </xdr:from>
    <xdr:to>
      <xdr:col>4</xdr:col>
      <xdr:colOff>19050</xdr:colOff>
      <xdr:row>139</xdr:row>
      <xdr:rowOff>9525</xdr:rowOff>
    </xdr:to>
    <xdr:sp macro="" textlink="">
      <xdr:nvSpPr>
        <xdr:cNvPr id="121" name="Line 17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933450" y="23431500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139</xdr:row>
      <xdr:rowOff>9525</xdr:rowOff>
    </xdr:from>
    <xdr:to>
      <xdr:col>4</xdr:col>
      <xdr:colOff>9525</xdr:colOff>
      <xdr:row>140</xdr:row>
      <xdr:rowOff>0</xdr:rowOff>
    </xdr:to>
    <xdr:sp macro="" textlink="">
      <xdr:nvSpPr>
        <xdr:cNvPr id="122" name="Line 17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2943225" y="234315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139</xdr:row>
      <xdr:rowOff>0</xdr:rowOff>
    </xdr:from>
    <xdr:to>
      <xdr:col>0</xdr:col>
      <xdr:colOff>952500</xdr:colOff>
      <xdr:row>143</xdr:row>
      <xdr:rowOff>0</xdr:rowOff>
    </xdr:to>
    <xdr:sp macro="" textlink="">
      <xdr:nvSpPr>
        <xdr:cNvPr id="123" name="Line 17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933450" y="234219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139</xdr:row>
      <xdr:rowOff>142875</xdr:rowOff>
    </xdr:from>
    <xdr:to>
      <xdr:col>4</xdr:col>
      <xdr:colOff>9525</xdr:colOff>
      <xdr:row>142</xdr:row>
      <xdr:rowOff>152400</xdr:rowOff>
    </xdr:to>
    <xdr:sp macro="" textlink="">
      <xdr:nvSpPr>
        <xdr:cNvPr id="124" name="Line 17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933450" y="23564850"/>
          <a:ext cx="20097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139</xdr:row>
      <xdr:rowOff>9525</xdr:rowOff>
    </xdr:from>
    <xdr:to>
      <xdr:col>2</xdr:col>
      <xdr:colOff>0</xdr:colOff>
      <xdr:row>141</xdr:row>
      <xdr:rowOff>142875</xdr:rowOff>
    </xdr:to>
    <xdr:sp macro="" textlink="">
      <xdr:nvSpPr>
        <xdr:cNvPr id="125" name="Line 17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1428750" y="234315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138</xdr:row>
      <xdr:rowOff>9525</xdr:rowOff>
    </xdr:from>
    <xdr:to>
      <xdr:col>2</xdr:col>
      <xdr:colOff>0</xdr:colOff>
      <xdr:row>138</xdr:row>
      <xdr:rowOff>9525</xdr:rowOff>
    </xdr:to>
    <xdr:sp macro="" textlink="">
      <xdr:nvSpPr>
        <xdr:cNvPr id="126" name="Line 17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933450" y="232695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138</xdr:row>
      <xdr:rowOff>19050</xdr:rowOff>
    </xdr:from>
    <xdr:to>
      <xdr:col>4</xdr:col>
      <xdr:colOff>0</xdr:colOff>
      <xdr:row>138</xdr:row>
      <xdr:rowOff>19050</xdr:rowOff>
    </xdr:to>
    <xdr:sp macro="" textlink="">
      <xdr:nvSpPr>
        <xdr:cNvPr id="127" name="Line 17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1438275" y="232791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895350</xdr:colOff>
      <xdr:row>143</xdr:row>
      <xdr:rowOff>38100</xdr:rowOff>
    </xdr:from>
    <xdr:to>
      <xdr:col>3</xdr:col>
      <xdr:colOff>704850</xdr:colOff>
      <xdr:row>143</xdr:row>
      <xdr:rowOff>38100</xdr:rowOff>
    </xdr:to>
    <xdr:sp macro="" textlink="">
      <xdr:nvSpPr>
        <xdr:cNvPr id="128" name="Line 17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895350" y="24107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952500</xdr:colOff>
      <xdr:row>157</xdr:row>
      <xdr:rowOff>9525</xdr:rowOff>
    </xdr:from>
    <xdr:to>
      <xdr:col>2</xdr:col>
      <xdr:colOff>0</xdr:colOff>
      <xdr:row>157</xdr:row>
      <xdr:rowOff>9525</xdr:rowOff>
    </xdr:to>
    <xdr:sp macro="" textlink="">
      <xdr:nvSpPr>
        <xdr:cNvPr id="129" name="Line 17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933450" y="263461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157</xdr:row>
      <xdr:rowOff>9525</xdr:rowOff>
    </xdr:from>
    <xdr:to>
      <xdr:col>1</xdr:col>
      <xdr:colOff>0</xdr:colOff>
      <xdr:row>159</xdr:row>
      <xdr:rowOff>0</xdr:rowOff>
    </xdr:to>
    <xdr:sp macro="" textlink="">
      <xdr:nvSpPr>
        <xdr:cNvPr id="130" name="Line 18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933450" y="263461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159</xdr:row>
      <xdr:rowOff>19050</xdr:rowOff>
    </xdr:from>
    <xdr:to>
      <xdr:col>3</xdr:col>
      <xdr:colOff>752475</xdr:colOff>
      <xdr:row>159</xdr:row>
      <xdr:rowOff>19050</xdr:rowOff>
    </xdr:to>
    <xdr:sp macro="" textlink="">
      <xdr:nvSpPr>
        <xdr:cNvPr id="131" name="Line 18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933450" y="267081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152400</xdr:rowOff>
    </xdr:from>
    <xdr:to>
      <xdr:col>4</xdr:col>
      <xdr:colOff>0</xdr:colOff>
      <xdr:row>159</xdr:row>
      <xdr:rowOff>9525</xdr:rowOff>
    </xdr:to>
    <xdr:sp macro="" textlink="">
      <xdr:nvSpPr>
        <xdr:cNvPr id="132" name="Line 18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 flipV="1">
          <a:off x="2933700" y="263271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156</xdr:row>
      <xdr:rowOff>152400</xdr:rowOff>
    </xdr:from>
    <xdr:to>
      <xdr:col>4</xdr:col>
      <xdr:colOff>19050</xdr:colOff>
      <xdr:row>157</xdr:row>
      <xdr:rowOff>9525</xdr:rowOff>
    </xdr:to>
    <xdr:sp macro="" textlink="">
      <xdr:nvSpPr>
        <xdr:cNvPr id="133" name="Line 18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 flipH="1">
          <a:off x="1828800" y="26327100"/>
          <a:ext cx="11239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155</xdr:row>
      <xdr:rowOff>9525</xdr:rowOff>
    </xdr:from>
    <xdr:to>
      <xdr:col>2</xdr:col>
      <xdr:colOff>0</xdr:colOff>
      <xdr:row>157</xdr:row>
      <xdr:rowOff>9525</xdr:rowOff>
    </xdr:to>
    <xdr:sp macro="" textlink="">
      <xdr:nvSpPr>
        <xdr:cNvPr id="134" name="Line 18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 flipV="1">
          <a:off x="1428750" y="260223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154</xdr:row>
      <xdr:rowOff>152400</xdr:rowOff>
    </xdr:from>
    <xdr:to>
      <xdr:col>2</xdr:col>
      <xdr:colOff>409575</xdr:colOff>
      <xdr:row>157</xdr:row>
      <xdr:rowOff>9525</xdr:rowOff>
    </xdr:to>
    <xdr:sp macro="" textlink="">
      <xdr:nvSpPr>
        <xdr:cNvPr id="135" name="Line 18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 flipV="1">
          <a:off x="1838325" y="260032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161</xdr:row>
      <xdr:rowOff>9525</xdr:rowOff>
    </xdr:from>
    <xdr:to>
      <xdr:col>4</xdr:col>
      <xdr:colOff>19050</xdr:colOff>
      <xdr:row>161</xdr:row>
      <xdr:rowOff>9525</xdr:rowOff>
    </xdr:to>
    <xdr:sp macro="" textlink="">
      <xdr:nvSpPr>
        <xdr:cNvPr id="136" name="Line 18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933450" y="27022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161</xdr:row>
      <xdr:rowOff>9525</xdr:rowOff>
    </xdr:from>
    <xdr:to>
      <xdr:col>4</xdr:col>
      <xdr:colOff>9525</xdr:colOff>
      <xdr:row>162</xdr:row>
      <xdr:rowOff>0</xdr:rowOff>
    </xdr:to>
    <xdr:sp macro="" textlink="">
      <xdr:nvSpPr>
        <xdr:cNvPr id="137" name="Line 18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943225" y="27022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161</xdr:row>
      <xdr:rowOff>0</xdr:rowOff>
    </xdr:from>
    <xdr:to>
      <xdr:col>0</xdr:col>
      <xdr:colOff>952500</xdr:colOff>
      <xdr:row>165</xdr:row>
      <xdr:rowOff>0</xdr:rowOff>
    </xdr:to>
    <xdr:sp macro="" textlink="">
      <xdr:nvSpPr>
        <xdr:cNvPr id="138" name="Line 18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933450" y="270129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161</xdr:row>
      <xdr:rowOff>142875</xdr:rowOff>
    </xdr:from>
    <xdr:to>
      <xdr:col>4</xdr:col>
      <xdr:colOff>9525</xdr:colOff>
      <xdr:row>164</xdr:row>
      <xdr:rowOff>152400</xdr:rowOff>
    </xdr:to>
    <xdr:sp macro="" textlink="">
      <xdr:nvSpPr>
        <xdr:cNvPr id="139" name="Line 18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 flipV="1">
          <a:off x="933450" y="27155775"/>
          <a:ext cx="20097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160</xdr:row>
      <xdr:rowOff>9525</xdr:rowOff>
    </xdr:from>
    <xdr:to>
      <xdr:col>2</xdr:col>
      <xdr:colOff>0</xdr:colOff>
      <xdr:row>160</xdr:row>
      <xdr:rowOff>9525</xdr:rowOff>
    </xdr:to>
    <xdr:sp macro="" textlink="">
      <xdr:nvSpPr>
        <xdr:cNvPr id="140" name="Line 19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933450" y="268605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160</xdr:row>
      <xdr:rowOff>19050</xdr:rowOff>
    </xdr:from>
    <xdr:to>
      <xdr:col>4</xdr:col>
      <xdr:colOff>0</xdr:colOff>
      <xdr:row>160</xdr:row>
      <xdr:rowOff>19050</xdr:rowOff>
    </xdr:to>
    <xdr:sp macro="" textlink="">
      <xdr:nvSpPr>
        <xdr:cNvPr id="141" name="Line 19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1438275" y="268700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923925</xdr:colOff>
      <xdr:row>165</xdr:row>
      <xdr:rowOff>95250</xdr:rowOff>
    </xdr:from>
    <xdr:to>
      <xdr:col>3</xdr:col>
      <xdr:colOff>733425</xdr:colOff>
      <xdr:row>165</xdr:row>
      <xdr:rowOff>95250</xdr:rowOff>
    </xdr:to>
    <xdr:sp macro="" textlink="">
      <xdr:nvSpPr>
        <xdr:cNvPr id="142" name="Line 19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923925" y="277558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419100</xdr:colOff>
      <xdr:row>161</xdr:row>
      <xdr:rowOff>9525</xdr:rowOff>
    </xdr:from>
    <xdr:to>
      <xdr:col>2</xdr:col>
      <xdr:colOff>419100</xdr:colOff>
      <xdr:row>163</xdr:row>
      <xdr:rowOff>66675</xdr:rowOff>
    </xdr:to>
    <xdr:sp macro="" textlink="">
      <xdr:nvSpPr>
        <xdr:cNvPr id="143" name="Line 19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1847850" y="2702242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144" name="Line 19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1857375" y="274986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157</xdr:row>
      <xdr:rowOff>9525</xdr:rowOff>
    </xdr:from>
    <xdr:to>
      <xdr:col>2</xdr:col>
      <xdr:colOff>400050</xdr:colOff>
      <xdr:row>157</xdr:row>
      <xdr:rowOff>9525</xdr:rowOff>
    </xdr:to>
    <xdr:sp macro="" textlink="">
      <xdr:nvSpPr>
        <xdr:cNvPr id="145" name="Line 19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1428750" y="263461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285750</xdr:colOff>
      <xdr:row>154</xdr:row>
      <xdr:rowOff>95250</xdr:rowOff>
    </xdr:from>
    <xdr:to>
      <xdr:col>3</xdr:col>
      <xdr:colOff>285750</xdr:colOff>
      <xdr:row>156</xdr:row>
      <xdr:rowOff>0</xdr:rowOff>
    </xdr:to>
    <xdr:sp macro="" textlink="">
      <xdr:nvSpPr>
        <xdr:cNvPr id="146" name="Line 19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2476500" y="259461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238125</xdr:colOff>
      <xdr:row>153</xdr:row>
      <xdr:rowOff>76200</xdr:rowOff>
    </xdr:from>
    <xdr:to>
      <xdr:col>3</xdr:col>
      <xdr:colOff>447675</xdr:colOff>
      <xdr:row>154</xdr:row>
      <xdr:rowOff>95250</xdr:rowOff>
    </xdr:to>
    <xdr:sp macro="" textlink="">
      <xdr:nvSpPr>
        <xdr:cNvPr id="147" name="Rectangle 19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2428875" y="25765125"/>
          <a:ext cx="2095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p6</a:t>
          </a:r>
        </a:p>
      </xdr:txBody>
    </xdr:sp>
    <xdr:clientData/>
  </xdr:twoCellAnchor>
  <xdr:twoCellAnchor>
    <xdr:from>
      <xdr:col>3</xdr:col>
      <xdr:colOff>276225</xdr:colOff>
      <xdr:row>157</xdr:row>
      <xdr:rowOff>57150</xdr:rowOff>
    </xdr:from>
    <xdr:to>
      <xdr:col>3</xdr:col>
      <xdr:colOff>276225</xdr:colOff>
      <xdr:row>158</xdr:row>
      <xdr:rowOff>104775</xdr:rowOff>
    </xdr:to>
    <xdr:sp macro="" textlink="">
      <xdr:nvSpPr>
        <xdr:cNvPr id="148" name="Line 20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2466975" y="263937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419100</xdr:colOff>
      <xdr:row>157</xdr:row>
      <xdr:rowOff>76200</xdr:rowOff>
    </xdr:from>
    <xdr:to>
      <xdr:col>3</xdr:col>
      <xdr:colOff>628650</xdr:colOff>
      <xdr:row>158</xdr:row>
      <xdr:rowOff>85725</xdr:rowOff>
    </xdr:to>
    <xdr:sp macro="" textlink="">
      <xdr:nvSpPr>
        <xdr:cNvPr id="149" name="Rectangle 20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2609850" y="2641282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pp</a:t>
          </a:r>
        </a:p>
      </xdr:txBody>
    </xdr:sp>
    <xdr:clientData/>
  </xdr:twoCellAnchor>
  <xdr:twoCellAnchor>
    <xdr:from>
      <xdr:col>0</xdr:col>
      <xdr:colOff>800100</xdr:colOff>
      <xdr:row>62</xdr:row>
      <xdr:rowOff>104775</xdr:rowOff>
    </xdr:from>
    <xdr:to>
      <xdr:col>0</xdr:col>
      <xdr:colOff>800100</xdr:colOff>
      <xdr:row>63</xdr:row>
      <xdr:rowOff>85725</xdr:rowOff>
    </xdr:to>
    <xdr:sp macro="" textlink="">
      <xdr:nvSpPr>
        <xdr:cNvPr id="150" name="Line 20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800100" y="108204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666750</xdr:colOff>
      <xdr:row>61</xdr:row>
      <xdr:rowOff>0</xdr:rowOff>
    </xdr:from>
    <xdr:to>
      <xdr:col>0</xdr:col>
      <xdr:colOff>876300</xdr:colOff>
      <xdr:row>61</xdr:row>
      <xdr:rowOff>142875</xdr:rowOff>
    </xdr:to>
    <xdr:sp macro="" textlink="">
      <xdr:nvSpPr>
        <xdr:cNvPr id="151" name="Rectangle 20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666750" y="10553700"/>
          <a:ext cx="209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P7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P7</a:t>
          </a:r>
        </a:p>
      </xdr:txBody>
    </xdr:sp>
    <xdr:clientData/>
  </xdr:twoCellAnchor>
  <xdr:twoCellAnchor>
    <xdr:from>
      <xdr:col>1</xdr:col>
      <xdr:colOff>9525</xdr:colOff>
      <xdr:row>183</xdr:row>
      <xdr:rowOff>152400</xdr:rowOff>
    </xdr:from>
    <xdr:to>
      <xdr:col>1</xdr:col>
      <xdr:colOff>9525</xdr:colOff>
      <xdr:row>196</xdr:row>
      <xdr:rowOff>0</xdr:rowOff>
    </xdr:to>
    <xdr:sp macro="" textlink="">
      <xdr:nvSpPr>
        <xdr:cNvPr id="152" name="Line 20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942975" y="30756225"/>
          <a:ext cx="0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195</xdr:row>
      <xdr:rowOff>152400</xdr:rowOff>
    </xdr:from>
    <xdr:to>
      <xdr:col>1</xdr:col>
      <xdr:colOff>0</xdr:colOff>
      <xdr:row>195</xdr:row>
      <xdr:rowOff>152400</xdr:rowOff>
    </xdr:to>
    <xdr:sp macro="" textlink="">
      <xdr:nvSpPr>
        <xdr:cNvPr id="153" name="Line 20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209550" y="3271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196</xdr:row>
      <xdr:rowOff>0</xdr:rowOff>
    </xdr:from>
    <xdr:to>
      <xdr:col>0</xdr:col>
      <xdr:colOff>209550</xdr:colOff>
      <xdr:row>197</xdr:row>
      <xdr:rowOff>152400</xdr:rowOff>
    </xdr:to>
    <xdr:sp macro="" textlink="">
      <xdr:nvSpPr>
        <xdr:cNvPr id="154" name="Line 20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209550" y="327279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196</xdr:row>
      <xdr:rowOff>9525</xdr:rowOff>
    </xdr:from>
    <xdr:to>
      <xdr:col>3</xdr:col>
      <xdr:colOff>9525</xdr:colOff>
      <xdr:row>198</xdr:row>
      <xdr:rowOff>9525</xdr:rowOff>
    </xdr:to>
    <xdr:sp macro="" textlink="">
      <xdr:nvSpPr>
        <xdr:cNvPr id="155" name="Line 20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2190750" y="32737425"/>
          <a:ext cx="9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196</xdr:row>
      <xdr:rowOff>9525</xdr:rowOff>
    </xdr:from>
    <xdr:to>
      <xdr:col>2</xdr:col>
      <xdr:colOff>752475</xdr:colOff>
      <xdr:row>196</xdr:row>
      <xdr:rowOff>9525</xdr:rowOff>
    </xdr:to>
    <xdr:sp macro="" textlink="">
      <xdr:nvSpPr>
        <xdr:cNvPr id="156" name="Line 2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1428750" y="327374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198</xdr:row>
      <xdr:rowOff>0</xdr:rowOff>
    </xdr:from>
    <xdr:to>
      <xdr:col>1</xdr:col>
      <xdr:colOff>0</xdr:colOff>
      <xdr:row>198</xdr:row>
      <xdr:rowOff>9525</xdr:rowOff>
    </xdr:to>
    <xdr:sp macro="" textlink="">
      <xdr:nvSpPr>
        <xdr:cNvPr id="157" name="Line 21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V="1">
          <a:off x="200025" y="33070800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200</xdr:row>
      <xdr:rowOff>19050</xdr:rowOff>
    </xdr:from>
    <xdr:to>
      <xdr:col>1</xdr:col>
      <xdr:colOff>495300</xdr:colOff>
      <xdr:row>200</xdr:row>
      <xdr:rowOff>19050</xdr:rowOff>
    </xdr:to>
    <xdr:sp macro="" textlink="">
      <xdr:nvSpPr>
        <xdr:cNvPr id="158" name="Line 21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933450" y="334137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194</xdr:row>
      <xdr:rowOff>0</xdr:rowOff>
    </xdr:from>
    <xdr:to>
      <xdr:col>1</xdr:col>
      <xdr:colOff>9525</xdr:colOff>
      <xdr:row>194</xdr:row>
      <xdr:rowOff>9525</xdr:rowOff>
    </xdr:to>
    <xdr:sp macro="" textlink="">
      <xdr:nvSpPr>
        <xdr:cNvPr id="159" name="Line 2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209550" y="32404050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196</xdr:row>
      <xdr:rowOff>9525</xdr:rowOff>
    </xdr:from>
    <xdr:to>
      <xdr:col>3</xdr:col>
      <xdr:colOff>190500</xdr:colOff>
      <xdr:row>197</xdr:row>
      <xdr:rowOff>152400</xdr:rowOff>
    </xdr:to>
    <xdr:sp macro="" textlink="">
      <xdr:nvSpPr>
        <xdr:cNvPr id="160" name="Line 21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2381250" y="327374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114300</xdr:colOff>
      <xdr:row>184</xdr:row>
      <xdr:rowOff>76200</xdr:rowOff>
    </xdr:from>
    <xdr:to>
      <xdr:col>0</xdr:col>
      <xdr:colOff>123825</xdr:colOff>
      <xdr:row>198</xdr:row>
      <xdr:rowOff>76200</xdr:rowOff>
    </xdr:to>
    <xdr:sp macro="" textlink="">
      <xdr:nvSpPr>
        <xdr:cNvPr id="161" name="Line 2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114300" y="30841950"/>
          <a:ext cx="9525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504825</xdr:colOff>
      <xdr:row>200</xdr:row>
      <xdr:rowOff>19050</xdr:rowOff>
    </xdr:from>
    <xdr:to>
      <xdr:col>3</xdr:col>
      <xdr:colOff>9525</xdr:colOff>
      <xdr:row>200</xdr:row>
      <xdr:rowOff>19050</xdr:rowOff>
    </xdr:to>
    <xdr:sp macro="" textlink="">
      <xdr:nvSpPr>
        <xdr:cNvPr id="162" name="Line 22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1428750" y="334137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266700</xdr:colOff>
      <xdr:row>201</xdr:row>
      <xdr:rowOff>9525</xdr:rowOff>
    </xdr:from>
    <xdr:to>
      <xdr:col>3</xdr:col>
      <xdr:colOff>0</xdr:colOff>
      <xdr:row>201</xdr:row>
      <xdr:rowOff>9525</xdr:rowOff>
    </xdr:to>
    <xdr:sp macro="" textlink="">
      <xdr:nvSpPr>
        <xdr:cNvPr id="163" name="Line 22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266700" y="3357562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628650</xdr:colOff>
      <xdr:row>194</xdr:row>
      <xdr:rowOff>9525</xdr:rowOff>
    </xdr:from>
    <xdr:to>
      <xdr:col>0</xdr:col>
      <xdr:colOff>628650</xdr:colOff>
      <xdr:row>195</xdr:row>
      <xdr:rowOff>142875</xdr:rowOff>
    </xdr:to>
    <xdr:sp macro="" textlink="">
      <xdr:nvSpPr>
        <xdr:cNvPr id="164" name="Line 22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628650" y="324135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9525</xdr:colOff>
      <xdr:row>184</xdr:row>
      <xdr:rowOff>9525</xdr:rowOff>
    </xdr:from>
    <xdr:to>
      <xdr:col>1</xdr:col>
      <xdr:colOff>295275</xdr:colOff>
      <xdr:row>184</xdr:row>
      <xdr:rowOff>9525</xdr:rowOff>
    </xdr:to>
    <xdr:sp macro="" textlink="">
      <xdr:nvSpPr>
        <xdr:cNvPr id="165" name="Line 22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942975" y="307752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200</xdr:row>
      <xdr:rowOff>0</xdr:rowOff>
    </xdr:from>
    <xdr:to>
      <xdr:col>1</xdr:col>
      <xdr:colOff>9525</xdr:colOff>
      <xdr:row>200</xdr:row>
      <xdr:rowOff>9525</xdr:rowOff>
    </xdr:to>
    <xdr:sp macro="" textlink="">
      <xdr:nvSpPr>
        <xdr:cNvPr id="166" name="Line 22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209550" y="33394650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295275</xdr:colOff>
      <xdr:row>197</xdr:row>
      <xdr:rowOff>123825</xdr:rowOff>
    </xdr:from>
    <xdr:to>
      <xdr:col>2</xdr:col>
      <xdr:colOff>666750</xdr:colOff>
      <xdr:row>197</xdr:row>
      <xdr:rowOff>133350</xdr:rowOff>
    </xdr:to>
    <xdr:sp macro="" textlink="">
      <xdr:nvSpPr>
        <xdr:cNvPr id="167" name="Line 23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295275" y="33023175"/>
          <a:ext cx="1800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196</xdr:row>
      <xdr:rowOff>76200</xdr:rowOff>
    </xdr:from>
    <xdr:to>
      <xdr:col>0</xdr:col>
      <xdr:colOff>514350</xdr:colOff>
      <xdr:row>196</xdr:row>
      <xdr:rowOff>152400</xdr:rowOff>
    </xdr:to>
    <xdr:sp macro="" textlink="">
      <xdr:nvSpPr>
        <xdr:cNvPr id="168" name="Oval 23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438150" y="328041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196</xdr:row>
      <xdr:rowOff>76200</xdr:rowOff>
    </xdr:from>
    <xdr:to>
      <xdr:col>0</xdr:col>
      <xdr:colOff>914400</xdr:colOff>
      <xdr:row>196</xdr:row>
      <xdr:rowOff>152400</xdr:rowOff>
    </xdr:to>
    <xdr:sp macro="" textlink="">
      <xdr:nvSpPr>
        <xdr:cNvPr id="169" name="Oval 23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838200" y="328041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685800</xdr:colOff>
      <xdr:row>197</xdr:row>
      <xdr:rowOff>47625</xdr:rowOff>
    </xdr:from>
    <xdr:to>
      <xdr:col>2</xdr:col>
      <xdr:colOff>0</xdr:colOff>
      <xdr:row>197</xdr:row>
      <xdr:rowOff>123825</xdr:rowOff>
    </xdr:to>
    <xdr:sp macro="" textlink="">
      <xdr:nvSpPr>
        <xdr:cNvPr id="170" name="Oval 23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428750" y="32946975"/>
          <a:ext cx="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197</xdr:row>
      <xdr:rowOff>66675</xdr:rowOff>
    </xdr:from>
    <xdr:to>
      <xdr:col>0</xdr:col>
      <xdr:colOff>923925</xdr:colOff>
      <xdr:row>197</xdr:row>
      <xdr:rowOff>142875</xdr:rowOff>
    </xdr:to>
    <xdr:sp macro="" textlink="">
      <xdr:nvSpPr>
        <xdr:cNvPr id="171" name="Oval 23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847725" y="3296602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184</xdr:row>
      <xdr:rowOff>123825</xdr:rowOff>
    </xdr:from>
    <xdr:to>
      <xdr:col>1</xdr:col>
      <xdr:colOff>152400</xdr:colOff>
      <xdr:row>185</xdr:row>
      <xdr:rowOff>38100</xdr:rowOff>
    </xdr:to>
    <xdr:sp macro="" textlink="">
      <xdr:nvSpPr>
        <xdr:cNvPr id="172" name="Oval 23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009650" y="3088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188</xdr:row>
      <xdr:rowOff>57150</xdr:rowOff>
    </xdr:from>
    <xdr:to>
      <xdr:col>1</xdr:col>
      <xdr:colOff>161925</xdr:colOff>
      <xdr:row>188</xdr:row>
      <xdr:rowOff>133350</xdr:rowOff>
    </xdr:to>
    <xdr:sp macro="" textlink="">
      <xdr:nvSpPr>
        <xdr:cNvPr id="173" name="Oval 23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000125" y="31470600"/>
          <a:ext cx="952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190</xdr:row>
      <xdr:rowOff>161925</xdr:rowOff>
    </xdr:from>
    <xdr:to>
      <xdr:col>1</xdr:col>
      <xdr:colOff>142875</xdr:colOff>
      <xdr:row>191</xdr:row>
      <xdr:rowOff>47625</xdr:rowOff>
    </xdr:to>
    <xdr:sp macro="" textlink="">
      <xdr:nvSpPr>
        <xdr:cNvPr id="174" name="Oval 23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000125" y="31908750"/>
          <a:ext cx="76200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190</xdr:row>
      <xdr:rowOff>171450</xdr:rowOff>
    </xdr:from>
    <xdr:to>
      <xdr:col>1</xdr:col>
      <xdr:colOff>238125</xdr:colOff>
      <xdr:row>191</xdr:row>
      <xdr:rowOff>57150</xdr:rowOff>
    </xdr:to>
    <xdr:sp macro="" textlink="">
      <xdr:nvSpPr>
        <xdr:cNvPr id="175" name="Oval 24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095375" y="31908750"/>
          <a:ext cx="7620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194</xdr:row>
      <xdr:rowOff>123825</xdr:rowOff>
    </xdr:from>
    <xdr:to>
      <xdr:col>2</xdr:col>
      <xdr:colOff>666750</xdr:colOff>
      <xdr:row>196</xdr:row>
      <xdr:rowOff>47625</xdr:rowOff>
    </xdr:to>
    <xdr:sp macro="" textlink="">
      <xdr:nvSpPr>
        <xdr:cNvPr id="176" name="Line 24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 flipV="1">
          <a:off x="1857375" y="32527875"/>
          <a:ext cx="2381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647700</xdr:colOff>
      <xdr:row>197</xdr:row>
      <xdr:rowOff>133350</xdr:rowOff>
    </xdr:from>
    <xdr:to>
      <xdr:col>0</xdr:col>
      <xdr:colOff>695325</xdr:colOff>
      <xdr:row>202</xdr:row>
      <xdr:rowOff>66675</xdr:rowOff>
    </xdr:to>
    <xdr:sp macro="" textlink="">
      <xdr:nvSpPr>
        <xdr:cNvPr id="177" name="Line 24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 flipH="1">
          <a:off x="647700" y="33032700"/>
          <a:ext cx="476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619125</xdr:colOff>
      <xdr:row>202</xdr:row>
      <xdr:rowOff>76200</xdr:rowOff>
    </xdr:from>
    <xdr:to>
      <xdr:col>0</xdr:col>
      <xdr:colOff>838200</xdr:colOff>
      <xdr:row>202</xdr:row>
      <xdr:rowOff>76200</xdr:rowOff>
    </xdr:to>
    <xdr:sp macro="" textlink="">
      <xdr:nvSpPr>
        <xdr:cNvPr id="178" name="Line 24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>
          <a:off x="619125" y="338042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188</xdr:row>
      <xdr:rowOff>66675</xdr:rowOff>
    </xdr:from>
    <xdr:to>
      <xdr:col>2</xdr:col>
      <xdr:colOff>361950</xdr:colOff>
      <xdr:row>189</xdr:row>
      <xdr:rowOff>114300</xdr:rowOff>
    </xdr:to>
    <xdr:sp macro="" textlink="">
      <xdr:nvSpPr>
        <xdr:cNvPr id="179" name="Line 25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V="1">
          <a:off x="1162050" y="31480125"/>
          <a:ext cx="6286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152400</xdr:colOff>
      <xdr:row>185</xdr:row>
      <xdr:rowOff>0</xdr:rowOff>
    </xdr:from>
    <xdr:to>
      <xdr:col>2</xdr:col>
      <xdr:colOff>533400</xdr:colOff>
      <xdr:row>188</xdr:row>
      <xdr:rowOff>85725</xdr:rowOff>
    </xdr:to>
    <xdr:sp macro="" textlink="">
      <xdr:nvSpPr>
        <xdr:cNvPr id="180" name="Line 25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V="1">
          <a:off x="1085850" y="30927675"/>
          <a:ext cx="8763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142875</xdr:colOff>
      <xdr:row>185</xdr:row>
      <xdr:rowOff>0</xdr:rowOff>
    </xdr:from>
    <xdr:to>
      <xdr:col>2</xdr:col>
      <xdr:colOff>428625</xdr:colOff>
      <xdr:row>185</xdr:row>
      <xdr:rowOff>0</xdr:rowOff>
    </xdr:to>
    <xdr:sp macro="" textlink="">
      <xdr:nvSpPr>
        <xdr:cNvPr id="181" name="Line 25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>
          <a:off x="1076325" y="309276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196</xdr:row>
      <xdr:rowOff>57150</xdr:rowOff>
    </xdr:from>
    <xdr:to>
      <xdr:col>2</xdr:col>
      <xdr:colOff>619125</xdr:colOff>
      <xdr:row>196</xdr:row>
      <xdr:rowOff>133350</xdr:rowOff>
    </xdr:to>
    <xdr:sp macro="" textlink="">
      <xdr:nvSpPr>
        <xdr:cNvPr id="182" name="Oval 25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971675" y="32785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197</xdr:row>
      <xdr:rowOff>57150</xdr:rowOff>
    </xdr:from>
    <xdr:to>
      <xdr:col>2</xdr:col>
      <xdr:colOff>657225</xdr:colOff>
      <xdr:row>197</xdr:row>
      <xdr:rowOff>133350</xdr:rowOff>
    </xdr:to>
    <xdr:sp macro="" textlink="">
      <xdr:nvSpPr>
        <xdr:cNvPr id="183" name="Oval 25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2009775" y="329565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197</xdr:row>
      <xdr:rowOff>133350</xdr:rowOff>
    </xdr:from>
    <xdr:to>
      <xdr:col>3</xdr:col>
      <xdr:colOff>409575</xdr:colOff>
      <xdr:row>198</xdr:row>
      <xdr:rowOff>133350</xdr:rowOff>
    </xdr:to>
    <xdr:sp macro="" textlink="">
      <xdr:nvSpPr>
        <xdr:cNvPr id="184" name="Line 26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>
          <a:off x="2076450" y="33032700"/>
          <a:ext cx="5238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197</xdr:row>
      <xdr:rowOff>161925</xdr:rowOff>
    </xdr:from>
    <xdr:to>
      <xdr:col>4</xdr:col>
      <xdr:colOff>447675</xdr:colOff>
      <xdr:row>198</xdr:row>
      <xdr:rowOff>123825</xdr:rowOff>
    </xdr:to>
    <xdr:sp macro="" textlink="">
      <xdr:nvSpPr>
        <xdr:cNvPr id="185" name="Line 26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 flipV="1">
          <a:off x="2686050" y="33061275"/>
          <a:ext cx="6953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400050</xdr:colOff>
      <xdr:row>198</xdr:row>
      <xdr:rowOff>114300</xdr:rowOff>
    </xdr:from>
    <xdr:to>
      <xdr:col>3</xdr:col>
      <xdr:colOff>504825</xdr:colOff>
      <xdr:row>198</xdr:row>
      <xdr:rowOff>123825</xdr:rowOff>
    </xdr:to>
    <xdr:sp macro="" textlink="">
      <xdr:nvSpPr>
        <xdr:cNvPr id="186" name="Line 26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 flipV="1">
          <a:off x="2590800" y="33185100"/>
          <a:ext cx="104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192</xdr:row>
      <xdr:rowOff>104775</xdr:rowOff>
    </xdr:from>
    <xdr:to>
      <xdr:col>2</xdr:col>
      <xdr:colOff>352425</xdr:colOff>
      <xdr:row>192</xdr:row>
      <xdr:rowOff>104775</xdr:rowOff>
    </xdr:to>
    <xdr:sp macro="" textlink="">
      <xdr:nvSpPr>
        <xdr:cNvPr id="187" name="Line 26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1000125" y="321754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304800</xdr:colOff>
      <xdr:row>5</xdr:row>
      <xdr:rowOff>0</xdr:rowOff>
    </xdr:from>
    <xdr:to>
      <xdr:col>1</xdr:col>
      <xdr:colOff>304800</xdr:colOff>
      <xdr:row>17</xdr:row>
      <xdr:rowOff>9525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>
          <a:off x="1238250" y="923925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18</xdr:row>
      <xdr:rowOff>152400</xdr:rowOff>
    </xdr:from>
    <xdr:to>
      <xdr:col>3</xdr:col>
      <xdr:colOff>9525</xdr:colOff>
      <xdr:row>19</xdr:row>
      <xdr:rowOff>9525</xdr:rowOff>
    </xdr:to>
    <xdr:cxnSp macro="">
      <xdr:nvCxnSpPr>
        <xdr:cNvPr id="189" name="188 Conector rec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>
          <a:stCxn id="4" idx="1"/>
          <a:endCxn id="5" idx="1"/>
        </xdr:cNvCxnSpPr>
      </xdr:nvCxnSpPr>
      <xdr:spPr>
        <a:xfrm rot="16200000" flipH="1">
          <a:off x="1195388" y="2309812"/>
          <a:ext cx="19050" cy="1990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24</xdr:row>
      <xdr:rowOff>0</xdr:rowOff>
    </xdr:from>
    <xdr:to>
      <xdr:col>15</xdr:col>
      <xdr:colOff>428625</xdr:colOff>
      <xdr:row>24</xdr:row>
      <xdr:rowOff>0</xdr:rowOff>
    </xdr:to>
    <xdr:cxnSp macro="">
      <xdr:nvCxnSpPr>
        <xdr:cNvPr id="190" name="189 Conector rec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 rot="16200000" flipH="1">
          <a:off x="9286875" y="2981325"/>
          <a:ext cx="0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65</xdr:row>
      <xdr:rowOff>180975</xdr:rowOff>
    </xdr:from>
    <xdr:to>
      <xdr:col>2</xdr:col>
      <xdr:colOff>0</xdr:colOff>
      <xdr:row>66</xdr:row>
      <xdr:rowOff>0</xdr:rowOff>
    </xdr:to>
    <xdr:sp macro="" textlink="">
      <xdr:nvSpPr>
        <xdr:cNvPr id="191" name="Line 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 flipV="1">
          <a:off x="933450" y="11468100"/>
          <a:ext cx="495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65</xdr:row>
      <xdr:rowOff>171450</xdr:rowOff>
    </xdr:from>
    <xdr:to>
      <xdr:col>2</xdr:col>
      <xdr:colOff>752475</xdr:colOff>
      <xdr:row>65</xdr:row>
      <xdr:rowOff>180975</xdr:rowOff>
    </xdr:to>
    <xdr:sp macro="" textlink="">
      <xdr:nvSpPr>
        <xdr:cNvPr id="192" name="Line 9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 flipV="1">
          <a:off x="1428750" y="11458575"/>
          <a:ext cx="752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185</xdr:row>
      <xdr:rowOff>0</xdr:rowOff>
    </xdr:from>
    <xdr:to>
      <xdr:col>1</xdr:col>
      <xdr:colOff>66675</xdr:colOff>
      <xdr:row>197</xdr:row>
      <xdr:rowOff>9525</xdr:rowOff>
    </xdr:to>
    <xdr:sp macro="" textlink="">
      <xdr:nvSpPr>
        <xdr:cNvPr id="193" name="Line 20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1000125" y="30927675"/>
          <a:ext cx="0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184</xdr:row>
      <xdr:rowOff>19050</xdr:rowOff>
    </xdr:from>
    <xdr:to>
      <xdr:col>1</xdr:col>
      <xdr:colOff>276225</xdr:colOff>
      <xdr:row>196</xdr:row>
      <xdr:rowOff>28575</xdr:rowOff>
    </xdr:to>
    <xdr:sp macro="" textlink="">
      <xdr:nvSpPr>
        <xdr:cNvPr id="194" name="Line 20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>
          <a:off x="1209675" y="30784800"/>
          <a:ext cx="0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196</xdr:row>
      <xdr:rowOff>9525</xdr:rowOff>
    </xdr:from>
    <xdr:to>
      <xdr:col>2</xdr:col>
      <xdr:colOff>247650</xdr:colOff>
      <xdr:row>196</xdr:row>
      <xdr:rowOff>9525</xdr:rowOff>
    </xdr:to>
    <xdr:sp macro="" textlink="">
      <xdr:nvSpPr>
        <xdr:cNvPr id="195" name="Line 20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H="1">
          <a:off x="1190625" y="327374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185</xdr:row>
      <xdr:rowOff>9525</xdr:rowOff>
    </xdr:from>
    <xdr:to>
      <xdr:col>1</xdr:col>
      <xdr:colOff>219075</xdr:colOff>
      <xdr:row>197</xdr:row>
      <xdr:rowOff>19050</xdr:rowOff>
    </xdr:to>
    <xdr:sp macro="" textlink="">
      <xdr:nvSpPr>
        <xdr:cNvPr id="196" name="Line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>
          <a:off x="1152525" y="30937200"/>
          <a:ext cx="0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198</xdr:row>
      <xdr:rowOff>0</xdr:rowOff>
    </xdr:from>
    <xdr:to>
      <xdr:col>2</xdr:col>
      <xdr:colOff>9525</xdr:colOff>
      <xdr:row>198</xdr:row>
      <xdr:rowOff>0</xdr:rowOff>
    </xdr:to>
    <xdr:sp macro="" textlink="">
      <xdr:nvSpPr>
        <xdr:cNvPr id="197" name="Line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952500" y="330708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198</xdr:row>
      <xdr:rowOff>9525</xdr:rowOff>
    </xdr:from>
    <xdr:to>
      <xdr:col>2</xdr:col>
      <xdr:colOff>742950</xdr:colOff>
      <xdr:row>198</xdr:row>
      <xdr:rowOff>9525</xdr:rowOff>
    </xdr:to>
    <xdr:sp macro="" textlink="">
      <xdr:nvSpPr>
        <xdr:cNvPr id="198" name="Line 20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1428750" y="3308032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40</xdr:row>
      <xdr:rowOff>0</xdr:rowOff>
    </xdr:from>
    <xdr:to>
      <xdr:col>1</xdr:col>
      <xdr:colOff>495300</xdr:colOff>
      <xdr:row>40</xdr:row>
      <xdr:rowOff>9525</xdr:rowOff>
    </xdr:to>
    <xdr:sp macro="" textlink="">
      <xdr:nvSpPr>
        <xdr:cNvPr id="199" name="Line 5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V="1">
          <a:off x="1285875" y="6848475"/>
          <a:ext cx="142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42</xdr:row>
      <xdr:rowOff>0</xdr:rowOff>
    </xdr:from>
    <xdr:to>
      <xdr:col>1</xdr:col>
      <xdr:colOff>276225</xdr:colOff>
      <xdr:row>42</xdr:row>
      <xdr:rowOff>0</xdr:rowOff>
    </xdr:to>
    <xdr:sp macro="" textlink="">
      <xdr:nvSpPr>
        <xdr:cNvPr id="200" name="Line 7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>
          <a:off x="933450" y="72390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42</xdr:row>
      <xdr:rowOff>9525</xdr:rowOff>
    </xdr:from>
    <xdr:to>
      <xdr:col>1</xdr:col>
      <xdr:colOff>495300</xdr:colOff>
      <xdr:row>42</xdr:row>
      <xdr:rowOff>9525</xdr:rowOff>
    </xdr:to>
    <xdr:sp macro="" textlink="">
      <xdr:nvSpPr>
        <xdr:cNvPr id="201" name="Line 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>
          <a:off x="1200150" y="7248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135</xdr:row>
      <xdr:rowOff>9525</xdr:rowOff>
    </xdr:from>
    <xdr:to>
      <xdr:col>0</xdr:col>
      <xdr:colOff>190500</xdr:colOff>
      <xdr:row>136</xdr:row>
      <xdr:rowOff>152400</xdr:rowOff>
    </xdr:to>
    <xdr:sp macro="" textlink="">
      <xdr:nvSpPr>
        <xdr:cNvPr id="202" name="Line 10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>
          <a:off x="190500" y="227552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190500</xdr:colOff>
      <xdr:row>157</xdr:row>
      <xdr:rowOff>9525</xdr:rowOff>
    </xdr:from>
    <xdr:to>
      <xdr:col>0</xdr:col>
      <xdr:colOff>190500</xdr:colOff>
      <xdr:row>158</xdr:row>
      <xdr:rowOff>152400</xdr:rowOff>
    </xdr:to>
    <xdr:sp macro="" textlink="">
      <xdr:nvSpPr>
        <xdr:cNvPr id="203" name="Line 10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190500" y="263461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295275</xdr:colOff>
      <xdr:row>196</xdr:row>
      <xdr:rowOff>66675</xdr:rowOff>
    </xdr:from>
    <xdr:to>
      <xdr:col>2</xdr:col>
      <xdr:colOff>666750</xdr:colOff>
      <xdr:row>196</xdr:row>
      <xdr:rowOff>76200</xdr:rowOff>
    </xdr:to>
    <xdr:sp macro="" textlink="">
      <xdr:nvSpPr>
        <xdr:cNvPr id="204" name="Line 23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V="1">
          <a:off x="295275" y="32794575"/>
          <a:ext cx="1800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57150</xdr:rowOff>
    </xdr:from>
    <xdr:to>
      <xdr:col>1</xdr:col>
      <xdr:colOff>285750</xdr:colOff>
      <xdr:row>17</xdr:row>
      <xdr:rowOff>57150</xdr:rowOff>
    </xdr:to>
    <xdr:sp macro="" textlink="">
      <xdr:nvSpPr>
        <xdr:cNvPr id="205" name="Line 7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>
          <a:off x="933450" y="3038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295275</xdr:colOff>
      <xdr:row>17</xdr:row>
      <xdr:rowOff>0</xdr:rowOff>
    </xdr:from>
    <xdr:to>
      <xdr:col>1</xdr:col>
      <xdr:colOff>495300</xdr:colOff>
      <xdr:row>17</xdr:row>
      <xdr:rowOff>9525</xdr:rowOff>
    </xdr:to>
    <xdr:sp macro="" textlink="">
      <xdr:nvSpPr>
        <xdr:cNvPr id="206" name="Line 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V="1">
          <a:off x="1228725" y="298132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191</xdr:row>
      <xdr:rowOff>0</xdr:rowOff>
    </xdr:from>
    <xdr:to>
      <xdr:col>2</xdr:col>
      <xdr:colOff>504825</xdr:colOff>
      <xdr:row>191</xdr:row>
      <xdr:rowOff>0</xdr:rowOff>
    </xdr:to>
    <xdr:sp macro="" textlink="">
      <xdr:nvSpPr>
        <xdr:cNvPr id="207" name="Line 25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>
          <a:off x="1152525" y="319087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590550</xdr:colOff>
      <xdr:row>195</xdr:row>
      <xdr:rowOff>161925</xdr:rowOff>
    </xdr:from>
    <xdr:to>
      <xdr:col>4</xdr:col>
      <xdr:colOff>447675</xdr:colOff>
      <xdr:row>196</xdr:row>
      <xdr:rowOff>104775</xdr:rowOff>
    </xdr:to>
    <xdr:sp macro="" textlink="">
      <xdr:nvSpPr>
        <xdr:cNvPr id="208" name="Line 26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V="1">
          <a:off x="2019300" y="32727900"/>
          <a:ext cx="13620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RUCTURAS\DE%20HORMIGON%20ARMADO\OPTIMIZACION%20ESTRUCTURAL\muros%20de%20contencion%20te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"/>
      <sheetName val="(1)"/>
      <sheetName val="(2)"/>
      <sheetName val="(3)"/>
      <sheetName val="(4)"/>
      <sheetName val="(5)"/>
      <sheetName val="(6)"/>
      <sheetName val="(7)"/>
      <sheetName val="Ho"/>
      <sheetName val="Muroaa"/>
      <sheetName val="FeAA"/>
      <sheetName val="Murobb"/>
      <sheetName val="FeBB"/>
      <sheetName val="Murocc"/>
      <sheetName val="FeCC"/>
      <sheetName val="Murodd"/>
      <sheetName val="FeDD"/>
      <sheetName val="Muroff"/>
      <sheetName val="FeFF"/>
      <sheetName val="Murogg"/>
      <sheetName val="FeGG"/>
      <sheetName val="Murohh"/>
      <sheetName val="FeHH"/>
      <sheetName val="resumen"/>
      <sheetName val="auxiliares"/>
    </sheetNames>
    <sheetDataSet>
      <sheetData sheetId="0" refreshError="1"/>
      <sheetData sheetId="1">
        <row r="30">
          <cell r="E30">
            <v>30780.000000000004</v>
          </cell>
        </row>
        <row r="32">
          <cell r="E32">
            <v>65460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>
        <row r="51">
          <cell r="B51">
            <v>1.8375000000000001</v>
          </cell>
          <cell r="D51">
            <v>1.3125</v>
          </cell>
          <cell r="G51">
            <v>2.4</v>
          </cell>
        </row>
        <row r="74">
          <cell r="B74">
            <v>26.67</v>
          </cell>
        </row>
        <row r="75">
          <cell r="B75">
            <v>3.02</v>
          </cell>
        </row>
        <row r="76">
          <cell r="B76">
            <v>2.5299999999999998</v>
          </cell>
        </row>
        <row r="164">
          <cell r="D164">
            <v>3.7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5"/>
  <sheetViews>
    <sheetView tabSelected="1" topLeftCell="A31" workbookViewId="0">
      <selection activeCell="D170" sqref="D170"/>
    </sheetView>
  </sheetViews>
  <sheetFormatPr baseColWidth="10" defaultRowHeight="12.75" x14ac:dyDescent="0.2"/>
  <cols>
    <col min="1" max="1" width="14" style="1" customWidth="1"/>
    <col min="2" max="2" width="7.42578125" style="1" bestFit="1" customWidth="1"/>
    <col min="3" max="3" width="11.42578125" style="1"/>
    <col min="4" max="4" width="11.140625" style="1" bestFit="1" customWidth="1"/>
    <col min="5" max="5" width="11.42578125" style="1"/>
    <col min="6" max="6" width="11.7109375" style="1" customWidth="1"/>
    <col min="7" max="7" width="10.42578125" style="1" bestFit="1" customWidth="1"/>
    <col min="8" max="8" width="8.28515625" style="2" bestFit="1" customWidth="1"/>
    <col min="9" max="9" width="12.42578125" style="1" bestFit="1" customWidth="1"/>
    <col min="10" max="10" width="11.42578125" style="1"/>
    <col min="11" max="12" width="3" style="1" bestFit="1" customWidth="1"/>
    <col min="13" max="16384" width="11.42578125" style="1"/>
  </cols>
  <sheetData>
    <row r="1" spans="1:8" ht="13.5" thickBot="1" x14ac:dyDescent="0.25"/>
    <row r="2" spans="1:8" ht="20.25" thickBot="1" x14ac:dyDescent="0.45">
      <c r="A2" s="3" t="s">
        <v>0</v>
      </c>
      <c r="B2" s="4"/>
      <c r="C2" s="4"/>
      <c r="D2" s="4"/>
      <c r="G2" s="5" t="s">
        <v>1</v>
      </c>
    </row>
    <row r="3" spans="1:8" ht="13.5" thickBot="1" x14ac:dyDescent="0.25">
      <c r="F3" s="6"/>
      <c r="G3" s="7"/>
    </row>
    <row r="4" spans="1:8" x14ac:dyDescent="0.2">
      <c r="F4" s="8"/>
      <c r="G4" s="9"/>
    </row>
    <row r="5" spans="1:8" x14ac:dyDescent="0.2">
      <c r="F5" s="10" t="s">
        <v>2</v>
      </c>
      <c r="G5" s="11">
        <v>210</v>
      </c>
      <c r="H5" s="2" t="s">
        <v>3</v>
      </c>
    </row>
    <row r="6" spans="1:8" x14ac:dyDescent="0.2">
      <c r="F6" s="10" t="s">
        <v>4</v>
      </c>
      <c r="G6" s="11">
        <v>4200</v>
      </c>
      <c r="H6" s="2" t="s">
        <v>3</v>
      </c>
    </row>
    <row r="7" spans="1:8" x14ac:dyDescent="0.2">
      <c r="F7" s="10" t="s">
        <v>5</v>
      </c>
      <c r="G7" s="11">
        <v>35</v>
      </c>
      <c r="H7" s="2" t="s">
        <v>6</v>
      </c>
    </row>
    <row r="8" spans="1:8" x14ac:dyDescent="0.2">
      <c r="F8" s="10" t="s">
        <v>7</v>
      </c>
      <c r="G8" s="11">
        <v>0.3</v>
      </c>
    </row>
    <row r="9" spans="1:8" x14ac:dyDescent="0.2">
      <c r="F9" s="10" t="s">
        <v>8</v>
      </c>
      <c r="G9" s="11">
        <v>1.9</v>
      </c>
      <c r="H9" s="2" t="s">
        <v>9</v>
      </c>
    </row>
    <row r="10" spans="1:8" x14ac:dyDescent="0.2">
      <c r="F10" s="10" t="s">
        <v>10</v>
      </c>
      <c r="G10" s="11">
        <v>3.4</v>
      </c>
      <c r="H10" s="2" t="s">
        <v>11</v>
      </c>
    </row>
    <row r="11" spans="1:8" x14ac:dyDescent="0.2">
      <c r="F11" s="10" t="s">
        <v>12</v>
      </c>
      <c r="G11" s="11">
        <v>0.4</v>
      </c>
      <c r="H11" s="2" t="s">
        <v>13</v>
      </c>
    </row>
    <row r="12" spans="1:8" ht="13.5" thickBot="1" x14ac:dyDescent="0.25">
      <c r="F12" s="12" t="s">
        <v>14</v>
      </c>
      <c r="G12" s="13">
        <v>0</v>
      </c>
      <c r="H12" s="2" t="s">
        <v>11</v>
      </c>
    </row>
    <row r="14" spans="1:8" ht="13.5" thickBot="1" x14ac:dyDescent="0.25"/>
    <row r="15" spans="1:8" ht="19.5" thickBot="1" x14ac:dyDescent="0.45">
      <c r="F15" s="14" t="s">
        <v>15</v>
      </c>
      <c r="G15" s="15"/>
      <c r="H15" s="16"/>
    </row>
    <row r="17" spans="2:8" ht="13.5" thickBot="1" x14ac:dyDescent="0.25">
      <c r="H17" s="17" t="s">
        <v>16</v>
      </c>
    </row>
    <row r="18" spans="2:8" x14ac:dyDescent="0.2">
      <c r="F18" s="18" t="s">
        <v>17</v>
      </c>
      <c r="G18" s="19">
        <f>G10/12</f>
        <v>0.28333333333333333</v>
      </c>
      <c r="H18" s="20">
        <v>0.5</v>
      </c>
    </row>
    <row r="19" spans="2:8" x14ac:dyDescent="0.2">
      <c r="F19" s="10" t="s">
        <v>18</v>
      </c>
      <c r="G19" s="21">
        <f>G10/12</f>
        <v>0.28333333333333333</v>
      </c>
      <c r="H19" s="11">
        <v>0.3</v>
      </c>
    </row>
    <row r="20" spans="2:8" x14ac:dyDescent="0.2">
      <c r="F20" s="10" t="s">
        <v>19</v>
      </c>
      <c r="G20" s="21">
        <f>G10/12</f>
        <v>0.28333333333333333</v>
      </c>
      <c r="H20" s="11">
        <v>0.3</v>
      </c>
    </row>
    <row r="21" spans="2:8" x14ac:dyDescent="0.2">
      <c r="F21" s="10" t="s">
        <v>20</v>
      </c>
      <c r="G21" s="21">
        <f>G10*2/3</f>
        <v>2.2666666666666666</v>
      </c>
      <c r="H21" s="11">
        <v>1.9</v>
      </c>
    </row>
    <row r="22" spans="2:8" x14ac:dyDescent="0.2">
      <c r="F22" s="10" t="s">
        <v>21</v>
      </c>
      <c r="G22" s="21">
        <f>G21*1/3</f>
        <v>0.75555555555555554</v>
      </c>
      <c r="H22" s="11">
        <v>0.2</v>
      </c>
    </row>
    <row r="23" spans="2:8" ht="13.5" thickBot="1" x14ac:dyDescent="0.25">
      <c r="F23" s="22" t="s">
        <v>22</v>
      </c>
      <c r="G23" s="23">
        <f>(G21*2/3)-G20</f>
        <v>1.2277777777777779</v>
      </c>
      <c r="H23" s="24">
        <f>+H21-b-H22</f>
        <v>1.4</v>
      </c>
    </row>
    <row r="25" spans="2:8" x14ac:dyDescent="0.2">
      <c r="F25" s="25" t="s">
        <v>23</v>
      </c>
    </row>
    <row r="26" spans="2:8" x14ac:dyDescent="0.2">
      <c r="F26" s="1" t="s">
        <v>24</v>
      </c>
    </row>
    <row r="27" spans="2:8" ht="15" x14ac:dyDescent="0.3">
      <c r="B27" s="26">
        <f>H19</f>
        <v>0.3</v>
      </c>
      <c r="C27" s="27"/>
      <c r="F27" s="1" t="s">
        <v>25</v>
      </c>
    </row>
    <row r="28" spans="2:8" x14ac:dyDescent="0.2">
      <c r="F28" s="1" t="s">
        <v>26</v>
      </c>
    </row>
    <row r="29" spans="2:8" x14ac:dyDescent="0.2">
      <c r="F29" s="1" t="s">
        <v>27</v>
      </c>
    </row>
    <row r="30" spans="2:8" ht="13.5" thickBot="1" x14ac:dyDescent="0.25">
      <c r="F30" s="1" t="s">
        <v>28</v>
      </c>
    </row>
    <row r="31" spans="2:8" ht="13.5" thickBot="1" x14ac:dyDescent="0.25">
      <c r="F31" s="28" t="s">
        <v>29</v>
      </c>
      <c r="G31" s="29"/>
    </row>
    <row r="33" spans="1:8" x14ac:dyDescent="0.2">
      <c r="F33" s="30" t="s">
        <v>30</v>
      </c>
    </row>
    <row r="35" spans="1:8" ht="15" x14ac:dyDescent="0.3">
      <c r="E35" s="27">
        <f>G10</f>
        <v>3.4</v>
      </c>
      <c r="F35" s="31" t="s">
        <v>5</v>
      </c>
      <c r="G35" s="32">
        <f>RADIANS(G7)</f>
        <v>0.6108652381980153</v>
      </c>
      <c r="H35" s="7" t="s">
        <v>31</v>
      </c>
    </row>
    <row r="36" spans="1:8" x14ac:dyDescent="0.2">
      <c r="F36" s="31" t="s">
        <v>32</v>
      </c>
      <c r="G36" s="31">
        <f>1-SIN(G35)</f>
        <v>0.42642356364895395</v>
      </c>
      <c r="H36" s="7"/>
    </row>
    <row r="37" spans="1:8" x14ac:dyDescent="0.2">
      <c r="F37" s="31" t="s">
        <v>33</v>
      </c>
      <c r="G37" s="31">
        <f>1+SIN(G35)</f>
        <v>1.573576436351046</v>
      </c>
      <c r="H37" s="7"/>
    </row>
    <row r="38" spans="1:8" x14ac:dyDescent="0.2">
      <c r="C38" s="33"/>
      <c r="F38" s="34" t="s">
        <v>34</v>
      </c>
      <c r="G38" s="35">
        <f>G36/G37</f>
        <v>0.27099005412014443</v>
      </c>
      <c r="H38" s="7"/>
    </row>
    <row r="39" spans="1:8" ht="15.75" thickBot="1" x14ac:dyDescent="0.35">
      <c r="A39" s="27">
        <f>G12</f>
        <v>0</v>
      </c>
    </row>
    <row r="40" spans="1:8" ht="14.25" thickBot="1" x14ac:dyDescent="0.3">
      <c r="F40" s="36" t="s">
        <v>35</v>
      </c>
      <c r="G40" s="37">
        <f>0.5*Ka*ﻻ*POWER(altura_total,2)</f>
        <v>2.9760127743474256</v>
      </c>
    </row>
    <row r="41" spans="1:8" ht="15.75" thickBot="1" x14ac:dyDescent="0.35">
      <c r="B41" s="26"/>
      <c r="F41" s="36" t="s">
        <v>36</v>
      </c>
      <c r="G41" s="37">
        <f>altura_total/3</f>
        <v>1.1333333333333333</v>
      </c>
    </row>
    <row r="42" spans="1:8" ht="15" x14ac:dyDescent="0.3">
      <c r="D42" s="27">
        <f>H18</f>
        <v>0.5</v>
      </c>
    </row>
    <row r="43" spans="1:8" ht="15" x14ac:dyDescent="0.3">
      <c r="A43" s="27">
        <f>H22</f>
        <v>0.2</v>
      </c>
      <c r="C43" s="27">
        <f>H23</f>
        <v>1.4</v>
      </c>
    </row>
    <row r="45" spans="1:8" x14ac:dyDescent="0.2">
      <c r="F45" s="30" t="s">
        <v>37</v>
      </c>
    </row>
    <row r="46" spans="1:8" ht="15.75" thickBot="1" x14ac:dyDescent="0.35">
      <c r="B46" s="27">
        <f>H21</f>
        <v>1.9</v>
      </c>
      <c r="F46" s="31" t="s">
        <v>38</v>
      </c>
      <c r="G46" s="32">
        <f>sobrecarga/ﻻ</f>
        <v>0.2105263157894737</v>
      </c>
    </row>
    <row r="47" spans="1:8" ht="14.25" thickBot="1" x14ac:dyDescent="0.3">
      <c r="F47" s="36" t="s">
        <v>39</v>
      </c>
      <c r="G47" s="37">
        <f>hsobrealtura*Ka*altura_total*ﻻ</f>
        <v>0.36854647360339637</v>
      </c>
    </row>
    <row r="48" spans="1:8" ht="14.25" thickBot="1" x14ac:dyDescent="0.3">
      <c r="F48" s="36" t="s">
        <v>40</v>
      </c>
      <c r="G48" s="37">
        <f>altura_total/2</f>
        <v>1.7</v>
      </c>
    </row>
    <row r="49" spans="1:8" ht="13.5" thickBot="1" x14ac:dyDescent="0.25"/>
    <row r="50" spans="1:8" ht="13.5" thickBot="1" x14ac:dyDescent="0.25">
      <c r="A50" s="28" t="s">
        <v>41</v>
      </c>
      <c r="B50" s="38"/>
    </row>
    <row r="52" spans="1:8" ht="15" x14ac:dyDescent="0.3">
      <c r="B52" s="26">
        <f>B27</f>
        <v>0.3</v>
      </c>
      <c r="C52" s="27"/>
      <c r="F52" s="39"/>
      <c r="G52" s="39"/>
      <c r="H52" s="7"/>
    </row>
    <row r="53" spans="1:8" x14ac:dyDescent="0.2">
      <c r="F53" s="39"/>
      <c r="G53" s="39"/>
      <c r="H53" s="7"/>
    </row>
    <row r="54" spans="1:8" x14ac:dyDescent="0.2">
      <c r="F54" s="39"/>
      <c r="G54" s="39"/>
      <c r="H54" s="7"/>
    </row>
    <row r="55" spans="1:8" x14ac:dyDescent="0.2">
      <c r="F55" s="34"/>
      <c r="G55" s="39"/>
      <c r="H55" s="40"/>
    </row>
    <row r="56" spans="1:8" x14ac:dyDescent="0.2">
      <c r="F56" s="39"/>
      <c r="G56" s="39"/>
      <c r="H56" s="7"/>
    </row>
    <row r="57" spans="1:8" x14ac:dyDescent="0.2">
      <c r="F57" s="39"/>
      <c r="G57" s="41">
        <f>G47</f>
        <v>0.36854647360339637</v>
      </c>
      <c r="H57" s="7"/>
    </row>
    <row r="58" spans="1:8" ht="15" x14ac:dyDescent="0.3">
      <c r="D58" s="27">
        <f>E60-D66</f>
        <v>2.9</v>
      </c>
      <c r="F58" s="34" t="s">
        <v>39</v>
      </c>
    </row>
    <row r="59" spans="1:8" ht="15" x14ac:dyDescent="0.3">
      <c r="E59" s="27"/>
    </row>
    <row r="60" spans="1:8" ht="15" x14ac:dyDescent="0.3">
      <c r="E60" s="26">
        <f>E35</f>
        <v>3.4</v>
      </c>
      <c r="G60" s="31"/>
      <c r="H60" s="7"/>
    </row>
    <row r="61" spans="1:8" x14ac:dyDescent="0.2">
      <c r="E61" s="34" t="s">
        <v>35</v>
      </c>
      <c r="F61" s="41">
        <f>Ea</f>
        <v>2.9760127743474256</v>
      </c>
      <c r="G61" s="31"/>
      <c r="H61" s="40"/>
    </row>
    <row r="62" spans="1:8" x14ac:dyDescent="0.2">
      <c r="C62" s="33"/>
      <c r="F62" s="31"/>
      <c r="G62" s="42">
        <f>G48</f>
        <v>1.7</v>
      </c>
      <c r="H62" s="7"/>
    </row>
    <row r="63" spans="1:8" ht="15" x14ac:dyDescent="0.3">
      <c r="A63" s="27">
        <f>A39</f>
        <v>0</v>
      </c>
      <c r="C63" s="26"/>
      <c r="F63" s="31"/>
      <c r="G63" s="31"/>
      <c r="H63" s="7"/>
    </row>
    <row r="64" spans="1:8" ht="15" x14ac:dyDescent="0.3">
      <c r="A64" s="26">
        <f>A63+D66</f>
        <v>0.5</v>
      </c>
      <c r="F64" s="42">
        <f>G41</f>
        <v>1.1333333333333333</v>
      </c>
      <c r="G64" s="31"/>
      <c r="H64" s="7"/>
    </row>
    <row r="65" spans="1:16" ht="15" x14ac:dyDescent="0.3">
      <c r="B65" s="26"/>
      <c r="F65" s="31"/>
      <c r="G65" s="31"/>
      <c r="H65" s="7"/>
    </row>
    <row r="66" spans="1:16" ht="15" x14ac:dyDescent="0.3">
      <c r="D66" s="27">
        <f>D42</f>
        <v>0.5</v>
      </c>
      <c r="F66" s="31"/>
      <c r="G66" s="31"/>
      <c r="H66" s="7"/>
    </row>
    <row r="67" spans="1:16" ht="15" x14ac:dyDescent="0.3">
      <c r="A67" s="27">
        <f>A43</f>
        <v>0.2</v>
      </c>
      <c r="C67" s="27">
        <f>C43</f>
        <v>1.4</v>
      </c>
    </row>
    <row r="68" spans="1:16" ht="15" x14ac:dyDescent="0.3">
      <c r="B68" s="27">
        <f>B46</f>
        <v>1.9</v>
      </c>
    </row>
    <row r="69" spans="1:16" x14ac:dyDescent="0.2">
      <c r="A69" s="109" t="s">
        <v>42</v>
      </c>
      <c r="B69" s="109"/>
      <c r="C69" s="109"/>
      <c r="D69" s="109"/>
      <c r="E69" s="43" t="s">
        <v>43</v>
      </c>
      <c r="F69" s="43"/>
      <c r="G69" s="43" t="s">
        <v>44</v>
      </c>
      <c r="H69" s="44" t="s">
        <v>45</v>
      </c>
      <c r="J69" s="45" t="s">
        <v>46</v>
      </c>
      <c r="K69" s="110" t="s">
        <v>47</v>
      </c>
      <c r="L69" s="111"/>
      <c r="M69" s="46" t="s">
        <v>48</v>
      </c>
      <c r="N69" s="46" t="s">
        <v>49</v>
      </c>
      <c r="O69" s="46" t="s">
        <v>50</v>
      </c>
      <c r="P69" s="46" t="s">
        <v>51</v>
      </c>
    </row>
    <row r="70" spans="1:16" x14ac:dyDescent="0.2">
      <c r="A70" s="43"/>
      <c r="B70" s="43" t="s">
        <v>52</v>
      </c>
      <c r="C70" s="43" t="s">
        <v>53</v>
      </c>
      <c r="D70" s="43"/>
      <c r="E70" s="43" t="s">
        <v>54</v>
      </c>
      <c r="F70" s="43"/>
      <c r="G70" s="43" t="s">
        <v>55</v>
      </c>
      <c r="H70" s="44" t="s">
        <v>56</v>
      </c>
      <c r="J70" s="45" t="s">
        <v>57</v>
      </c>
      <c r="K70" s="110" t="s">
        <v>58</v>
      </c>
      <c r="L70" s="111"/>
      <c r="M70" s="47" t="s">
        <v>59</v>
      </c>
      <c r="N70" s="46" t="s">
        <v>60</v>
      </c>
      <c r="O70" s="46" t="s">
        <v>11</v>
      </c>
      <c r="P70" s="46" t="s">
        <v>61</v>
      </c>
    </row>
    <row r="71" spans="1:16" x14ac:dyDescent="0.2">
      <c r="A71" s="43"/>
      <c r="B71" s="43" t="s">
        <v>62</v>
      </c>
      <c r="C71" s="43" t="s">
        <v>62</v>
      </c>
      <c r="D71" s="43"/>
      <c r="E71" s="43" t="s">
        <v>11</v>
      </c>
      <c r="F71" s="43"/>
      <c r="G71" s="43" t="s">
        <v>63</v>
      </c>
      <c r="H71" s="43" t="s">
        <v>63</v>
      </c>
      <c r="J71" s="48"/>
      <c r="K71" s="49"/>
      <c r="L71" s="49"/>
      <c r="M71" s="47"/>
      <c r="N71" s="50"/>
      <c r="O71" s="50"/>
      <c r="P71" s="50"/>
    </row>
    <row r="72" spans="1:16" x14ac:dyDescent="0.2">
      <c r="A72" s="51" t="s">
        <v>64</v>
      </c>
      <c r="B72" s="51">
        <f>ROUND(B52*D58*I111*F111,2)</f>
        <v>2.74</v>
      </c>
      <c r="C72" s="51"/>
      <c r="D72" s="51"/>
      <c r="E72" s="51">
        <f>A67+(B52/2)</f>
        <v>0.35</v>
      </c>
      <c r="F72" s="51"/>
      <c r="G72" s="51">
        <f>B72*E72</f>
        <v>0.95899999999999996</v>
      </c>
      <c r="H72" s="52"/>
    </row>
    <row r="73" spans="1:16" x14ac:dyDescent="0.2">
      <c r="A73" s="51" t="s">
        <v>65</v>
      </c>
      <c r="B73" s="51">
        <f>ROUND(D66*B68*I111*F111,2)</f>
        <v>2.99</v>
      </c>
      <c r="C73" s="51"/>
      <c r="D73" s="51"/>
      <c r="E73" s="51">
        <f>B68/2</f>
        <v>0.95</v>
      </c>
      <c r="F73" s="51"/>
      <c r="G73" s="51">
        <f>B73*E73</f>
        <v>2.8405</v>
      </c>
      <c r="H73" s="52"/>
    </row>
    <row r="74" spans="1:16" x14ac:dyDescent="0.2">
      <c r="A74" s="51" t="s">
        <v>66</v>
      </c>
      <c r="B74" s="51">
        <f>ROUND(C67*D58*ﻻ*CM,2)</f>
        <v>10.119999999999999</v>
      </c>
      <c r="C74" s="51"/>
      <c r="D74" s="51"/>
      <c r="E74" s="51">
        <f>A67+B65+(C67/2)</f>
        <v>0.89999999999999991</v>
      </c>
      <c r="F74" s="51"/>
      <c r="G74" s="51">
        <f>B74*E74</f>
        <v>9.1079999999999988</v>
      </c>
      <c r="H74" s="52"/>
    </row>
    <row r="75" spans="1:16" x14ac:dyDescent="0.2">
      <c r="A75" s="51" t="s">
        <v>67</v>
      </c>
      <c r="B75" s="51">
        <f>ROUND(sobrecarga*C67*F111,2)</f>
        <v>0.74</v>
      </c>
      <c r="C75" s="51"/>
      <c r="D75" s="51"/>
      <c r="E75" s="51">
        <f>E74</f>
        <v>0.89999999999999991</v>
      </c>
      <c r="F75" s="51"/>
      <c r="G75" s="51">
        <f>B75*E75</f>
        <v>0.66599999999999993</v>
      </c>
      <c r="H75" s="52"/>
    </row>
    <row r="76" spans="1:16" x14ac:dyDescent="0.2">
      <c r="A76" s="51" t="s">
        <v>68</v>
      </c>
      <c r="B76" s="51">
        <f>ROUND(F111*A67*A63*ﻻ,2)</f>
        <v>0</v>
      </c>
      <c r="C76" s="51"/>
      <c r="D76" s="51"/>
      <c r="E76" s="51">
        <f>A67/2</f>
        <v>0.1</v>
      </c>
      <c r="F76" s="51"/>
      <c r="G76" s="51">
        <f>B76*E76</f>
        <v>0</v>
      </c>
      <c r="H76" s="52"/>
    </row>
    <row r="77" spans="1:16" x14ac:dyDescent="0.2">
      <c r="A77" s="51" t="s">
        <v>35</v>
      </c>
      <c r="B77" s="51"/>
      <c r="C77" s="51">
        <f>Ea*D111</f>
        <v>5.4684234728633951</v>
      </c>
      <c r="D77" s="51"/>
      <c r="E77" s="51">
        <f>G41</f>
        <v>1.1333333333333333</v>
      </c>
      <c r="F77" s="51"/>
      <c r="G77" s="53" t="s">
        <v>69</v>
      </c>
      <c r="H77" s="52">
        <f>C77*E77</f>
        <v>6.1975466025785142</v>
      </c>
    </row>
    <row r="78" spans="1:16" x14ac:dyDescent="0.2">
      <c r="A78" s="51" t="s">
        <v>39</v>
      </c>
      <c r="B78" s="51"/>
      <c r="C78" s="51">
        <f>G47*D111</f>
        <v>0.67720414524624084</v>
      </c>
      <c r="D78" s="51"/>
      <c r="E78" s="51">
        <f>G48</f>
        <v>1.7</v>
      </c>
      <c r="F78" s="51"/>
      <c r="G78" s="51"/>
      <c r="H78" s="52">
        <f>C78*E78</f>
        <v>1.1512470469186094</v>
      </c>
    </row>
    <row r="79" spans="1:16" x14ac:dyDescent="0.2">
      <c r="A79" s="54"/>
      <c r="B79" s="55">
        <f>SUM(B72:B78)</f>
        <v>16.59</v>
      </c>
      <c r="C79" s="55">
        <f>SUM(C77:C78)</f>
        <v>6.1456276181096356</v>
      </c>
      <c r="D79" s="54"/>
      <c r="E79" s="54"/>
      <c r="F79" s="54"/>
      <c r="G79" s="55">
        <f>SUM(G72:G78)</f>
        <v>13.573499999999999</v>
      </c>
      <c r="H79" s="56">
        <f>SUM(H77:H78)</f>
        <v>7.3487936494971233</v>
      </c>
    </row>
    <row r="80" spans="1:16" x14ac:dyDescent="0.2">
      <c r="A80" s="57" t="s">
        <v>70</v>
      </c>
      <c r="D80" s="58">
        <f>(coeficientedefriccion*B79)/C79</f>
        <v>0.80984405650189717</v>
      </c>
      <c r="F80" s="54">
        <f>Ea*(E35)/3</f>
        <v>3.372814477593749</v>
      </c>
      <c r="G80" s="1" t="s">
        <v>71</v>
      </c>
    </row>
    <row r="81" spans="1:8" x14ac:dyDescent="0.2">
      <c r="A81" s="59" t="s">
        <v>72</v>
      </c>
      <c r="B81" s="60" t="s">
        <v>73</v>
      </c>
      <c r="C81" s="61">
        <f>(G79+H79)/H77</f>
        <v>3.3758993664996915</v>
      </c>
      <c r="D81" s="101" t="str">
        <f>IF(C81&gt;=2,"OK      DESLIZAMIENTO","REDIMENSIONAR            DESLIZAMIENTO")</f>
        <v>OK      DESLIZAMIENTO</v>
      </c>
      <c r="E81" s="102"/>
      <c r="F81" s="60" t="s">
        <v>73</v>
      </c>
      <c r="G81" s="61">
        <v>1.5525930213135399</v>
      </c>
      <c r="H81" s="103" t="str">
        <f>IF(G81&gt;=1.5,"OK","DISEÑAR LLAVE")</f>
        <v>OK</v>
      </c>
    </row>
    <row r="82" spans="1:8" ht="12.75" customHeight="1" x14ac:dyDescent="0.2">
      <c r="A82" s="112" t="s">
        <v>74</v>
      </c>
      <c r="B82" s="112"/>
      <c r="C82" s="61">
        <f>(G79-H79)/B79</f>
        <v>0.37520833939137288</v>
      </c>
      <c r="D82" s="1" t="s">
        <v>11</v>
      </c>
      <c r="E82" s="113" t="str">
        <f>IF(AND(C82&gt;G82,C82&lt;G83),"RESULTANTE EN TERCIO MEDIO","REVISAR DIMENSIONES")</f>
        <v>REVISAR DIMENSIONES</v>
      </c>
      <c r="F82" s="61" t="s">
        <v>75</v>
      </c>
      <c r="G82" s="61">
        <f>B68/3</f>
        <v>0.6333333333333333</v>
      </c>
      <c r="H82" s="2" t="s">
        <v>11</v>
      </c>
    </row>
    <row r="83" spans="1:8" ht="13.5" thickBot="1" x14ac:dyDescent="0.25">
      <c r="E83" s="114"/>
      <c r="F83" s="61" t="s">
        <v>76</v>
      </c>
      <c r="G83" s="61">
        <f>(2*B68)/3</f>
        <v>1.2666666666666666</v>
      </c>
      <c r="H83" s="2" t="s">
        <v>11</v>
      </c>
    </row>
    <row r="84" spans="1:8" ht="13.5" thickBot="1" x14ac:dyDescent="0.25">
      <c r="A84" s="28" t="s">
        <v>77</v>
      </c>
      <c r="B84" s="38"/>
    </row>
    <row r="85" spans="1:8" x14ac:dyDescent="0.2">
      <c r="A85" s="32" t="s">
        <v>78</v>
      </c>
      <c r="B85" s="62">
        <v>25</v>
      </c>
      <c r="C85" s="1" t="s">
        <v>79</v>
      </c>
      <c r="D85" s="32" t="s">
        <v>80</v>
      </c>
      <c r="E85" s="61">
        <f>1*B85</f>
        <v>25</v>
      </c>
    </row>
    <row r="86" spans="1:8" x14ac:dyDescent="0.2">
      <c r="A86" s="61" t="s">
        <v>81</v>
      </c>
      <c r="B86" s="61">
        <f>(B68/2)-C82</f>
        <v>0.57479166060862708</v>
      </c>
      <c r="C86" s="1" t="s">
        <v>11</v>
      </c>
    </row>
    <row r="87" spans="1:8" x14ac:dyDescent="0.2">
      <c r="A87" s="61" t="s">
        <v>82</v>
      </c>
      <c r="B87" s="61">
        <f>(SumVerticales/Base)*(1+((6*e)/Base))</f>
        <v>24.58054346176807</v>
      </c>
      <c r="C87" s="1" t="s">
        <v>79</v>
      </c>
      <c r="D87" s="107"/>
      <c r="E87" s="106" t="str">
        <f>IF(AND(B87&lt;E85,B88&lt;E85),"MENORES QUE ESFUERZO ULTIMO","REVISAR")</f>
        <v>MENORES QUE ESFUERZO ULTIMO</v>
      </c>
      <c r="F87" s="107"/>
    </row>
    <row r="88" spans="1:8" x14ac:dyDescent="0.2">
      <c r="A88" s="61" t="s">
        <v>83</v>
      </c>
      <c r="B88" s="61">
        <f>(SumVerticales/Base)*(1-((6*e)/Base))</f>
        <v>-7.1173855670312287</v>
      </c>
      <c r="C88" s="1" t="s">
        <v>79</v>
      </c>
    </row>
    <row r="90" spans="1:8" x14ac:dyDescent="0.2">
      <c r="B90" s="53" t="s">
        <v>84</v>
      </c>
    </row>
    <row r="91" spans="1:8" x14ac:dyDescent="0.2">
      <c r="F91" s="61" t="s">
        <v>85</v>
      </c>
      <c r="G91" s="61">
        <f>(((A95-E94)*C93)/C100)+E94</f>
        <v>22.397648724925965</v>
      </c>
    </row>
    <row r="92" spans="1:8" x14ac:dyDescent="0.2">
      <c r="B92" s="53" t="s">
        <v>19</v>
      </c>
    </row>
    <row r="93" spans="1:8" x14ac:dyDescent="0.2">
      <c r="B93" s="61">
        <f>A67</f>
        <v>0.2</v>
      </c>
      <c r="C93" s="63">
        <f>C67+B65</f>
        <v>1.4</v>
      </c>
      <c r="D93" s="63"/>
    </row>
    <row r="94" spans="1:8" x14ac:dyDescent="0.2">
      <c r="E94" s="61">
        <f>ABS(B88)</f>
        <v>7.1173855670312287</v>
      </c>
      <c r="F94" s="61" t="s">
        <v>86</v>
      </c>
      <c r="G94" s="61">
        <f>0.5*(A95+G91)*B93</f>
        <v>4.6978192186694034</v>
      </c>
    </row>
    <row r="95" spans="1:8" x14ac:dyDescent="0.2">
      <c r="A95" s="63">
        <f>B87</f>
        <v>24.58054346176807</v>
      </c>
      <c r="B95" s="64" t="s">
        <v>85</v>
      </c>
      <c r="F95" s="61" t="s">
        <v>87</v>
      </c>
      <c r="G95" s="61">
        <f>(G91+E94)*0.5*C93</f>
        <v>20.660524004370032</v>
      </c>
    </row>
    <row r="97" spans="1:9" x14ac:dyDescent="0.2">
      <c r="F97" s="65" t="s">
        <v>88</v>
      </c>
      <c r="G97" s="66">
        <f>G94+G95</f>
        <v>25.358343223039434</v>
      </c>
    </row>
    <row r="100" spans="1:9" x14ac:dyDescent="0.2">
      <c r="C100" s="61">
        <f>C93+B93</f>
        <v>1.5999999999999999</v>
      </c>
      <c r="F100" s="61" t="s">
        <v>89</v>
      </c>
      <c r="G100" s="61">
        <f>(1+SIN(RADIANS(17))/(1-SIN(RADIANS(17))))</f>
        <v>1.4131713028916963</v>
      </c>
    </row>
    <row r="101" spans="1:9" ht="13.5" thickBot="1" x14ac:dyDescent="0.25"/>
    <row r="102" spans="1:9" ht="13.5" thickBot="1" x14ac:dyDescent="0.25">
      <c r="A102" s="28" t="s">
        <v>90</v>
      </c>
      <c r="B102" s="38"/>
    </row>
    <row r="103" spans="1:9" x14ac:dyDescent="0.2">
      <c r="A103" s="57" t="s">
        <v>91</v>
      </c>
      <c r="B103" s="61" t="s">
        <v>35</v>
      </c>
      <c r="C103" s="61">
        <f>0.5*Ka*ﻻ*(E35-D42)*(E35-D42)</f>
        <v>2.1650750373928935</v>
      </c>
      <c r="D103" s="67" t="s">
        <v>92</v>
      </c>
      <c r="E103" s="67" t="s">
        <v>93</v>
      </c>
      <c r="F103" s="61"/>
      <c r="G103" s="61" t="s">
        <v>94</v>
      </c>
      <c r="H103" s="68">
        <f>(E60-D66)/3</f>
        <v>0.96666666666666667</v>
      </c>
    </row>
    <row r="104" spans="1:9" x14ac:dyDescent="0.2">
      <c r="B104" s="61" t="s">
        <v>95</v>
      </c>
      <c r="C104" s="61">
        <f>sobrecarga*Ka*(E35-D42)</f>
        <v>0.31434846277936757</v>
      </c>
      <c r="D104" s="67" t="s">
        <v>92</v>
      </c>
      <c r="E104" s="67" t="s">
        <v>96</v>
      </c>
      <c r="F104" s="61"/>
      <c r="G104" s="61" t="s">
        <v>97</v>
      </c>
      <c r="H104" s="68">
        <f>(E60-D66)/2</f>
        <v>1.45</v>
      </c>
    </row>
    <row r="105" spans="1:9" x14ac:dyDescent="0.2">
      <c r="B105" s="61"/>
      <c r="C105" s="61"/>
      <c r="G105" s="61"/>
      <c r="H105" s="68"/>
    </row>
    <row r="106" spans="1:9" x14ac:dyDescent="0.2">
      <c r="A106" s="66" t="s">
        <v>98</v>
      </c>
    </row>
    <row r="107" spans="1:9" x14ac:dyDescent="0.2">
      <c r="A107" s="61" t="s">
        <v>99</v>
      </c>
      <c r="B107" s="61">
        <f>C103*F111+C104*D111+C105</f>
        <v>3.4192762869352604</v>
      </c>
      <c r="C107" s="61" t="s">
        <v>100</v>
      </c>
      <c r="D107" s="67" t="s">
        <v>101</v>
      </c>
      <c r="E107" s="61" t="s">
        <v>102</v>
      </c>
      <c r="F107" s="61">
        <f>0.85*0.53*SQRT(fc__)</f>
        <v>6.5283652241583416</v>
      </c>
      <c r="G107" s="61" t="s">
        <v>3</v>
      </c>
      <c r="H107" s="1"/>
    </row>
    <row r="108" spans="1:9" x14ac:dyDescent="0.2">
      <c r="A108" s="61" t="s">
        <v>103</v>
      </c>
      <c r="B108" s="61">
        <f>(B52-0.06)*100</f>
        <v>24</v>
      </c>
      <c r="C108" s="61" t="s">
        <v>104</v>
      </c>
      <c r="F108" s="2" t="s">
        <v>105</v>
      </c>
    </row>
    <row r="109" spans="1:9" x14ac:dyDescent="0.2">
      <c r="A109" s="61" t="s">
        <v>106</v>
      </c>
      <c r="B109" s="61">
        <f>(B107*1000)/(100*B108)</f>
        <v>1.4246984528896918</v>
      </c>
      <c r="C109" s="61" t="s">
        <v>3</v>
      </c>
      <c r="D109" s="67" t="s">
        <v>107</v>
      </c>
      <c r="E109" s="61" t="s">
        <v>108</v>
      </c>
      <c r="F109" s="104" t="str">
        <f>IF(B109&lt;F107,"OK","REVISAR")</f>
        <v>OK</v>
      </c>
    </row>
    <row r="111" spans="1:9" x14ac:dyDescent="0.2">
      <c r="A111" s="66" t="s">
        <v>109</v>
      </c>
      <c r="B111" s="61"/>
      <c r="C111" s="31" t="s">
        <v>110</v>
      </c>
      <c r="D111" s="31">
        <f>1.75*1.05</f>
        <v>1.8375000000000001</v>
      </c>
      <c r="E111" s="31" t="s">
        <v>111</v>
      </c>
      <c r="F111" s="31">
        <f>1.25*1.05</f>
        <v>1.3125</v>
      </c>
      <c r="G111" s="108" t="s">
        <v>112</v>
      </c>
      <c r="H111" s="108"/>
      <c r="I111" s="31">
        <f>2.4</f>
        <v>2.4</v>
      </c>
    </row>
    <row r="112" spans="1:9" x14ac:dyDescent="0.2">
      <c r="A112" s="61" t="s">
        <v>113</v>
      </c>
      <c r="B112" s="61">
        <f>CM*C103*H103/1.05+CV/CV*C104*H104*0</f>
        <v>2.6161323368497458</v>
      </c>
      <c r="C112" s="61" t="s">
        <v>114</v>
      </c>
    </row>
    <row r="113" spans="1:7" x14ac:dyDescent="0.2">
      <c r="E113" s="61" t="s">
        <v>115</v>
      </c>
      <c r="F113" s="69">
        <f>IF(B119&gt;B120,B119,B120)</f>
        <v>3.3333333333333335E-3</v>
      </c>
    </row>
    <row r="114" spans="1:7" x14ac:dyDescent="0.2">
      <c r="A114" s="70" t="s">
        <v>11</v>
      </c>
      <c r="B114" s="70">
        <f>Fy__/(0.85*fc__)</f>
        <v>23.529411764705884</v>
      </c>
      <c r="C114" s="71" t="s">
        <v>116</v>
      </c>
      <c r="D114" s="71"/>
      <c r="E114" s="72" t="s">
        <v>117</v>
      </c>
      <c r="F114" s="66">
        <f>F113*100*B108</f>
        <v>8</v>
      </c>
      <c r="G114" s="73" t="s">
        <v>118</v>
      </c>
    </row>
    <row r="115" spans="1:7" x14ac:dyDescent="0.2">
      <c r="A115" s="70" t="s">
        <v>119</v>
      </c>
      <c r="B115" s="70">
        <f>Mu*100000/(0.9*100*B108*B108)</f>
        <v>5.0465515757132442</v>
      </c>
      <c r="C115" s="71" t="s">
        <v>120</v>
      </c>
      <c r="D115" s="71"/>
      <c r="F115" s="74" t="s">
        <v>121</v>
      </c>
    </row>
    <row r="116" spans="1:7" x14ac:dyDescent="0.2">
      <c r="A116" s="70" t="s">
        <v>122</v>
      </c>
      <c r="B116" s="70">
        <f>(2*Rn*m)/Fy__</f>
        <v>5.6543995246086776E-2</v>
      </c>
      <c r="C116" s="71"/>
      <c r="D116" s="71"/>
      <c r="E116" s="75"/>
      <c r="F116" s="75" t="s">
        <v>123</v>
      </c>
      <c r="G116" s="51" t="s">
        <v>124</v>
      </c>
    </row>
    <row r="117" spans="1:7" x14ac:dyDescent="0.2">
      <c r="A117" s="70" t="s">
        <v>125</v>
      </c>
      <c r="B117" s="70">
        <f>1/m</f>
        <v>4.2499999999999996E-2</v>
      </c>
      <c r="C117" s="71"/>
      <c r="D117" s="71"/>
      <c r="E117" s="76" t="str">
        <f t="shared" ref="E117:E122" si="0">CONCATENATE("θ",B124)</f>
        <v>θ6</v>
      </c>
      <c r="F117" s="51">
        <f t="shared" ref="F117:F122" si="1">100/($F$114/C124)</f>
        <v>3.5342917352885173</v>
      </c>
      <c r="G117" s="51">
        <f t="shared" ref="G117:G122" si="2">ROUNDDOWN(F117,0)</f>
        <v>3</v>
      </c>
    </row>
    <row r="118" spans="1:7" x14ac:dyDescent="0.2">
      <c r="A118" s="70" t="s">
        <v>126</v>
      </c>
      <c r="B118" s="70">
        <f>SQRT((1-_2Rn_m_fy))</f>
        <v>0.9713166346531461</v>
      </c>
      <c r="C118" s="71"/>
      <c r="D118" s="71"/>
      <c r="E118" s="76" t="str">
        <f t="shared" si="0"/>
        <v>θ8</v>
      </c>
      <c r="F118" s="51">
        <f t="shared" si="1"/>
        <v>6.2831853071795862</v>
      </c>
      <c r="G118" s="51">
        <f t="shared" si="2"/>
        <v>6</v>
      </c>
    </row>
    <row r="119" spans="1:7" x14ac:dyDescent="0.2">
      <c r="A119" s="61" t="s">
        <v>127</v>
      </c>
      <c r="B119" s="69">
        <f>_1_m*(1-raiz_1_2Rn_m_fy)</f>
        <v>1.2190430272412903E-3</v>
      </c>
      <c r="E119" s="76" t="str">
        <f t="shared" si="0"/>
        <v>θ10</v>
      </c>
      <c r="F119" s="51">
        <f t="shared" si="1"/>
        <v>9.8174770424681039</v>
      </c>
      <c r="G119" s="51">
        <f t="shared" si="2"/>
        <v>9</v>
      </c>
    </row>
    <row r="120" spans="1:7" x14ac:dyDescent="0.2">
      <c r="A120" s="77" t="s">
        <v>128</v>
      </c>
      <c r="B120" s="69">
        <f>14/Fy__</f>
        <v>3.3333333333333335E-3</v>
      </c>
      <c r="E120" s="76" t="str">
        <f t="shared" si="0"/>
        <v>θ12</v>
      </c>
      <c r="F120" s="51">
        <f t="shared" si="1"/>
        <v>14.137166941154069</v>
      </c>
      <c r="G120" s="51">
        <f t="shared" si="2"/>
        <v>14</v>
      </c>
    </row>
    <row r="121" spans="1:7" x14ac:dyDescent="0.2">
      <c r="A121" s="77" t="s">
        <v>129</v>
      </c>
      <c r="B121" s="61">
        <f>0.0018*100*(B27+B27)*100*0.5</f>
        <v>5.4</v>
      </c>
      <c r="C121" s="1" t="s">
        <v>130</v>
      </c>
      <c r="E121" s="76" t="str">
        <f t="shared" si="0"/>
        <v>θ16</v>
      </c>
      <c r="F121" s="51">
        <f t="shared" si="1"/>
        <v>25.132741228718345</v>
      </c>
      <c r="G121" s="51">
        <f t="shared" si="2"/>
        <v>25</v>
      </c>
    </row>
    <row r="122" spans="1:7" x14ac:dyDescent="0.2">
      <c r="E122" s="76" t="str">
        <f t="shared" si="0"/>
        <v>θ20</v>
      </c>
      <c r="F122" s="51">
        <f t="shared" si="1"/>
        <v>39.269908169872416</v>
      </c>
      <c r="G122" s="51">
        <f t="shared" si="2"/>
        <v>39</v>
      </c>
    </row>
    <row r="123" spans="1:7" x14ac:dyDescent="0.2">
      <c r="B123" s="75" t="s">
        <v>131</v>
      </c>
      <c r="C123" s="51" t="s">
        <v>132</v>
      </c>
    </row>
    <row r="124" spans="1:7" x14ac:dyDescent="0.2">
      <c r="B124" s="76">
        <v>6</v>
      </c>
      <c r="C124" s="51">
        <f t="shared" ref="C124:C129" si="3">PI()*(B124/10)^2/4</f>
        <v>0.28274333882308139</v>
      </c>
    </row>
    <row r="125" spans="1:7" x14ac:dyDescent="0.2">
      <c r="B125" s="76">
        <v>8</v>
      </c>
      <c r="C125" s="51">
        <f t="shared" si="3"/>
        <v>0.50265482457436694</v>
      </c>
      <c r="E125" s="78" t="s">
        <v>133</v>
      </c>
      <c r="F125" s="79"/>
      <c r="G125" s="79"/>
    </row>
    <row r="126" spans="1:7" x14ac:dyDescent="0.2">
      <c r="B126" s="76">
        <v>10</v>
      </c>
      <c r="C126" s="51">
        <f t="shared" si="3"/>
        <v>0.78539816339744828</v>
      </c>
      <c r="E126" s="76" t="s">
        <v>134</v>
      </c>
      <c r="F126" s="51">
        <f>B121/2</f>
        <v>2.7</v>
      </c>
      <c r="G126" s="76" t="s">
        <v>118</v>
      </c>
    </row>
    <row r="127" spans="1:7" x14ac:dyDescent="0.2">
      <c r="B127" s="76">
        <v>12</v>
      </c>
      <c r="C127" s="51">
        <f t="shared" si="3"/>
        <v>1.1309733552923256</v>
      </c>
      <c r="E127" s="75"/>
      <c r="F127" s="75" t="s">
        <v>123</v>
      </c>
      <c r="G127" s="75" t="s">
        <v>135</v>
      </c>
    </row>
    <row r="128" spans="1:7" x14ac:dyDescent="0.2">
      <c r="B128" s="76">
        <v>16</v>
      </c>
      <c r="C128" s="51">
        <f t="shared" si="3"/>
        <v>2.0106192982974678</v>
      </c>
      <c r="E128" s="76" t="str">
        <f>CONCATENATE("θ",B125)</f>
        <v>θ8</v>
      </c>
      <c r="F128" s="75">
        <f>100/($F$126/C125)</f>
        <v>18.616845354606181</v>
      </c>
      <c r="G128" s="76">
        <f>ROUND(F128,0)</f>
        <v>19</v>
      </c>
    </row>
    <row r="129" spans="1:8" x14ac:dyDescent="0.2">
      <c r="B129" s="76">
        <v>20</v>
      </c>
      <c r="C129" s="51">
        <f t="shared" si="3"/>
        <v>3.1415926535897931</v>
      </c>
      <c r="E129" s="76" t="str">
        <f>CONCATENATE("θ",B126)</f>
        <v>θ10</v>
      </c>
      <c r="F129" s="75">
        <f>100/($F$126/C126)</f>
        <v>29.088820866572156</v>
      </c>
      <c r="G129" s="76">
        <f>ROUND(F129,0)</f>
        <v>29</v>
      </c>
    </row>
    <row r="130" spans="1:8" x14ac:dyDescent="0.2">
      <c r="E130" s="76" t="str">
        <f>CONCATENATE("θ",B127)</f>
        <v>θ12</v>
      </c>
      <c r="F130" s="75">
        <f>100/($F$126/C127)</f>
        <v>41.887902047863903</v>
      </c>
      <c r="G130" s="76">
        <f>ROUND(F130,0)</f>
        <v>42</v>
      </c>
    </row>
    <row r="131" spans="1:8" x14ac:dyDescent="0.2">
      <c r="E131" s="76" t="str">
        <f>CONCATENATE("θ",B128)</f>
        <v>θ16</v>
      </c>
      <c r="F131" s="75">
        <f>100/($F$126/C128)</f>
        <v>74.467381418424722</v>
      </c>
      <c r="G131" s="76">
        <f>ROUND(F131,0)</f>
        <v>74</v>
      </c>
    </row>
    <row r="132" spans="1:8" x14ac:dyDescent="0.2">
      <c r="A132" s="57" t="s">
        <v>136</v>
      </c>
    </row>
    <row r="133" spans="1:8" x14ac:dyDescent="0.2">
      <c r="F133" s="73" t="s">
        <v>103</v>
      </c>
      <c r="G133" s="73">
        <f>(D66-0.06)*100</f>
        <v>44</v>
      </c>
    </row>
    <row r="135" spans="1:8" x14ac:dyDescent="0.2">
      <c r="B135" s="53" t="s">
        <v>84</v>
      </c>
      <c r="F135" s="73" t="s">
        <v>137</v>
      </c>
      <c r="G135" s="80">
        <f>(((A141+C141)*B138*0.5)/1.05-(A137*B138*peHA*CM))-relleno*1.5*1.05</f>
        <v>4.1591135415899076</v>
      </c>
      <c r="H135" s="68" t="s">
        <v>138</v>
      </c>
    </row>
    <row r="136" spans="1:8" x14ac:dyDescent="0.2">
      <c r="F136" s="73"/>
      <c r="G136" s="73"/>
      <c r="H136" s="68"/>
    </row>
    <row r="137" spans="1:8" ht="15" x14ac:dyDescent="0.3">
      <c r="A137" s="27">
        <f>D42</f>
        <v>0.5</v>
      </c>
      <c r="B137" s="53" t="s">
        <v>19</v>
      </c>
      <c r="F137" s="73" t="s">
        <v>113</v>
      </c>
      <c r="G137" s="80">
        <f>C141*B138*B138/2+(A141-C141)/2*B138*B138/3*2-relleno*B138/2-A137*peHA*B138*B138/2*CM</f>
        <v>0.44555823765641411</v>
      </c>
      <c r="H137" s="68" t="s">
        <v>114</v>
      </c>
    </row>
    <row r="138" spans="1:8" x14ac:dyDescent="0.2">
      <c r="B138" s="61">
        <f>B93</f>
        <v>0.2</v>
      </c>
      <c r="C138" s="63">
        <f>C93</f>
        <v>1.4</v>
      </c>
      <c r="D138" s="63"/>
    </row>
    <row r="139" spans="1:8" x14ac:dyDescent="0.2">
      <c r="F139" s="1" t="s">
        <v>106</v>
      </c>
      <c r="G139" s="73">
        <f>G135*1000/(100*G133)</f>
        <v>0.94525307763406996</v>
      </c>
    </row>
    <row r="140" spans="1:8" x14ac:dyDescent="0.2">
      <c r="E140" s="61">
        <f>E94</f>
        <v>7.1173855670312287</v>
      </c>
      <c r="F140" s="81" t="s">
        <v>108</v>
      </c>
      <c r="G140" s="104" t="str">
        <f>IF(G139&lt;F107,"OK","REVISAR")</f>
        <v>OK</v>
      </c>
    </row>
    <row r="141" spans="1:8" x14ac:dyDescent="0.2">
      <c r="A141" s="63">
        <f>A95</f>
        <v>24.58054346176807</v>
      </c>
      <c r="B141" s="64" t="s">
        <v>85</v>
      </c>
      <c r="C141" s="73">
        <f>G91</f>
        <v>22.397648724925965</v>
      </c>
    </row>
    <row r="142" spans="1:8" x14ac:dyDescent="0.2">
      <c r="F142" s="82" t="s">
        <v>11</v>
      </c>
      <c r="G142" s="83">
        <f>Fy__/(0.85*fc__)</f>
        <v>23.529411764705884</v>
      </c>
    </row>
    <row r="143" spans="1:8" x14ac:dyDescent="0.2">
      <c r="F143" s="82" t="s">
        <v>119</v>
      </c>
      <c r="G143" s="83">
        <f>G137*100000/(0.9*100*G133*G133)</f>
        <v>0.25571524199748286</v>
      </c>
    </row>
    <row r="144" spans="1:8" x14ac:dyDescent="0.2">
      <c r="F144" s="82" t="s">
        <v>122</v>
      </c>
      <c r="G144" s="83">
        <f>2*G143*G142/Fy__</f>
        <v>2.8651567730810404E-3</v>
      </c>
    </row>
    <row r="145" spans="1:8" x14ac:dyDescent="0.2">
      <c r="C145" s="61">
        <f>C138+B138</f>
        <v>1.5999999999999999</v>
      </c>
      <c r="F145" s="82" t="s">
        <v>125</v>
      </c>
      <c r="G145" s="83">
        <f>1/G142</f>
        <v>4.2499999999999996E-2</v>
      </c>
    </row>
    <row r="146" spans="1:8" x14ac:dyDescent="0.2">
      <c r="B146" s="75" t="s">
        <v>139</v>
      </c>
      <c r="C146" s="75" t="s">
        <v>123</v>
      </c>
      <c r="D146" s="75" t="s">
        <v>124</v>
      </c>
      <c r="F146" s="82" t="s">
        <v>126</v>
      </c>
      <c r="G146" s="83">
        <f>SQRT(1-G144)</f>
        <v>0.99856639400037839</v>
      </c>
    </row>
    <row r="147" spans="1:8" x14ac:dyDescent="0.2">
      <c r="B147" s="76" t="str">
        <f t="shared" ref="B147:B152" si="4">CONCATENATE("θ",B124)</f>
        <v>θ6</v>
      </c>
      <c r="C147" s="75">
        <f t="shared" ref="C147:C152" si="5">100/($G$150/C124)</f>
        <v>1.9277954919755547</v>
      </c>
      <c r="D147" s="84">
        <f t="shared" ref="D147:D152" si="6">ROUND(C147,0)</f>
        <v>2</v>
      </c>
      <c r="F147" s="82" t="s">
        <v>127</v>
      </c>
      <c r="G147" s="83">
        <f>G145*(1-G146)</f>
        <v>6.0928254983918511E-5</v>
      </c>
    </row>
    <row r="148" spans="1:8" x14ac:dyDescent="0.2">
      <c r="B148" s="76" t="str">
        <f t="shared" si="4"/>
        <v>θ8</v>
      </c>
      <c r="C148" s="75">
        <f t="shared" si="5"/>
        <v>3.4271919857343196</v>
      </c>
      <c r="D148" s="84">
        <f t="shared" si="6"/>
        <v>3</v>
      </c>
      <c r="F148" s="82" t="s">
        <v>128</v>
      </c>
      <c r="G148" s="83">
        <f>14/Fy__</f>
        <v>3.3333333333333335E-3</v>
      </c>
    </row>
    <row r="149" spans="1:8" x14ac:dyDescent="0.2">
      <c r="B149" s="76" t="str">
        <f t="shared" si="4"/>
        <v>θ10</v>
      </c>
      <c r="C149" s="75">
        <f t="shared" si="5"/>
        <v>5.3549874777098738</v>
      </c>
      <c r="D149" s="84">
        <f t="shared" si="6"/>
        <v>5</v>
      </c>
      <c r="F149" s="85" t="s">
        <v>140</v>
      </c>
      <c r="G149" s="83">
        <f>IF(G147&gt;G148,G147,G148)</f>
        <v>3.3333333333333335E-3</v>
      </c>
    </row>
    <row r="150" spans="1:8" x14ac:dyDescent="0.2">
      <c r="B150" s="76" t="str">
        <f t="shared" si="4"/>
        <v>θ12</v>
      </c>
      <c r="C150" s="75">
        <f t="shared" si="5"/>
        <v>7.7111819679022187</v>
      </c>
      <c r="D150" s="84">
        <f t="shared" si="6"/>
        <v>8</v>
      </c>
      <c r="F150" s="81" t="s">
        <v>141</v>
      </c>
      <c r="G150" s="86">
        <f>G149*100*G133</f>
        <v>14.666666666666668</v>
      </c>
    </row>
    <row r="151" spans="1:8" x14ac:dyDescent="0.2">
      <c r="B151" s="76" t="str">
        <f t="shared" si="4"/>
        <v>θ16</v>
      </c>
      <c r="C151" s="75">
        <f t="shared" si="5"/>
        <v>13.708767942937278</v>
      </c>
      <c r="D151" s="84">
        <f t="shared" si="6"/>
        <v>14</v>
      </c>
    </row>
    <row r="152" spans="1:8" x14ac:dyDescent="0.2">
      <c r="B152" s="76" t="str">
        <f t="shared" si="4"/>
        <v>θ20</v>
      </c>
      <c r="C152" s="75">
        <f t="shared" si="5"/>
        <v>21.419949910839495</v>
      </c>
      <c r="D152" s="84">
        <f t="shared" si="6"/>
        <v>21</v>
      </c>
    </row>
    <row r="153" spans="1:8" x14ac:dyDescent="0.2">
      <c r="A153" s="57" t="s">
        <v>142</v>
      </c>
    </row>
    <row r="155" spans="1:8" x14ac:dyDescent="0.2">
      <c r="E155" s="61" t="s">
        <v>103</v>
      </c>
      <c r="F155" s="61">
        <f>(D66-0.06)*100</f>
        <v>44</v>
      </c>
    </row>
    <row r="156" spans="1:8" x14ac:dyDescent="0.2">
      <c r="E156" s="61" t="s">
        <v>143</v>
      </c>
      <c r="F156" s="61">
        <f>E162+((A163-E162)*D164)/C167</f>
        <v>22.834227672294386</v>
      </c>
    </row>
    <row r="157" spans="1:8" x14ac:dyDescent="0.2">
      <c r="B157" s="53"/>
      <c r="C157" s="87" t="s">
        <v>18</v>
      </c>
      <c r="E157" s="87"/>
    </row>
    <row r="158" spans="1:8" x14ac:dyDescent="0.2">
      <c r="C158" s="73">
        <f>B52</f>
        <v>0.3</v>
      </c>
      <c r="F158" s="61" t="s">
        <v>99</v>
      </c>
      <c r="G158" s="61">
        <f>(TIERRA+AUTOS)-((E162+F156)*0.5*D164)+(A137*peHA*D164*CM)</f>
        <v>-49.443629788482632</v>
      </c>
    </row>
    <row r="159" spans="1:8" ht="15" x14ac:dyDescent="0.3">
      <c r="A159" s="27">
        <f>A137</f>
        <v>0.5</v>
      </c>
      <c r="B159" s="53"/>
      <c r="C159" s="87" t="s">
        <v>81</v>
      </c>
      <c r="F159" s="61" t="s">
        <v>106</v>
      </c>
      <c r="G159" s="61">
        <f>G158*1000/(100*F155)</f>
        <v>-11.237188588291508</v>
      </c>
      <c r="H159" s="68" t="s">
        <v>3</v>
      </c>
    </row>
    <row r="160" spans="1:8" x14ac:dyDescent="0.2">
      <c r="B160" s="61">
        <f>B138</f>
        <v>0.2</v>
      </c>
      <c r="C160" s="63">
        <f>C138</f>
        <v>1.4</v>
      </c>
      <c r="D160" s="63"/>
      <c r="F160" s="61" t="s">
        <v>108</v>
      </c>
      <c r="G160" s="105" t="str">
        <f>IF(G159&lt;F107,"OK","REVISAR")</f>
        <v>OK</v>
      </c>
    </row>
    <row r="162" spans="1:10" x14ac:dyDescent="0.2">
      <c r="E162" s="61">
        <f>E140</f>
        <v>7.1173855670312287</v>
      </c>
    </row>
    <row r="163" spans="1:10" x14ac:dyDescent="0.2">
      <c r="A163" s="63">
        <f>A141</f>
        <v>24.58054346176807</v>
      </c>
      <c r="B163" s="64"/>
      <c r="C163" s="73">
        <f>F156</f>
        <v>22.834227672294386</v>
      </c>
      <c r="F163" s="61" t="s">
        <v>113</v>
      </c>
      <c r="G163" s="61">
        <f>((TIERRA+AUTOS)/1.3125*(talon/2))+(A159*peHA*talon*(talon/2))-(E162*talon*(talon/2))-((C163-E162)*0.5*talon*(talon/3))</f>
        <v>-94.340728114311503</v>
      </c>
      <c r="H163" s="68" t="s">
        <v>114</v>
      </c>
      <c r="J163" s="1" t="s">
        <v>144</v>
      </c>
    </row>
    <row r="164" spans="1:10" x14ac:dyDescent="0.2">
      <c r="D164" s="73">
        <f>C167-(B160+C158)</f>
        <v>4.5</v>
      </c>
      <c r="F164" s="67"/>
      <c r="G164" s="67"/>
    </row>
    <row r="165" spans="1:10" x14ac:dyDescent="0.2">
      <c r="F165" s="70" t="s">
        <v>11</v>
      </c>
      <c r="G165" s="70">
        <f>Fy__/(0.85*fc__)</f>
        <v>23.529411764705884</v>
      </c>
    </row>
    <row r="166" spans="1:10" x14ac:dyDescent="0.2">
      <c r="F166" s="70" t="s">
        <v>119</v>
      </c>
      <c r="G166" s="70">
        <f>G163*100000/(0.9*100*F155*F155)</f>
        <v>-54.144127705642511</v>
      </c>
    </row>
    <row r="167" spans="1:10" x14ac:dyDescent="0.2">
      <c r="C167" s="61">
        <v>5</v>
      </c>
      <c r="F167" s="70" t="s">
        <v>122</v>
      </c>
      <c r="G167" s="70">
        <f>2*G166*G165/Fy__</f>
        <v>-0.60665689306042037</v>
      </c>
    </row>
    <row r="168" spans="1:10" x14ac:dyDescent="0.2">
      <c r="F168" s="70" t="s">
        <v>125</v>
      </c>
      <c r="G168" s="70">
        <f>1/G165</f>
        <v>4.2499999999999996E-2</v>
      </c>
    </row>
    <row r="169" spans="1:10" x14ac:dyDescent="0.2">
      <c r="B169" s="75" t="s">
        <v>139</v>
      </c>
      <c r="C169" s="75" t="s">
        <v>123</v>
      </c>
      <c r="D169" s="75" t="s">
        <v>124</v>
      </c>
      <c r="F169" s="70" t="s">
        <v>126</v>
      </c>
      <c r="G169" s="70">
        <f>SQRT(1-G167)</f>
        <v>1.2675397007827489</v>
      </c>
    </row>
    <row r="170" spans="1:10" x14ac:dyDescent="0.2">
      <c r="B170" s="76" t="str">
        <f t="shared" ref="B170:B175" si="7">CONCATENATE("θ",B124)</f>
        <v>θ6</v>
      </c>
      <c r="C170" s="75">
        <f t="shared" ref="C170:C175" si="8">100/($G$173/C124)</f>
        <v>1.9277954919755547</v>
      </c>
      <c r="D170" s="84">
        <f t="shared" ref="D170:D175" si="9">ROUND(C170,0)</f>
        <v>2</v>
      </c>
      <c r="F170" s="70" t="s">
        <v>127</v>
      </c>
      <c r="G170" s="88">
        <f>G168*(1-G169)</f>
        <v>-1.1370437283266827E-2</v>
      </c>
    </row>
    <row r="171" spans="1:10" x14ac:dyDescent="0.2">
      <c r="B171" s="76" t="str">
        <f t="shared" si="7"/>
        <v>θ8</v>
      </c>
      <c r="C171" s="75">
        <f t="shared" si="8"/>
        <v>3.4271919857343196</v>
      </c>
      <c r="D171" s="84">
        <f t="shared" si="9"/>
        <v>3</v>
      </c>
      <c r="F171" s="61" t="s">
        <v>128</v>
      </c>
      <c r="G171" s="69">
        <f>14/Fy__</f>
        <v>3.3333333333333335E-3</v>
      </c>
    </row>
    <row r="172" spans="1:10" x14ac:dyDescent="0.2">
      <c r="B172" s="76" t="str">
        <f t="shared" si="7"/>
        <v>θ10</v>
      </c>
      <c r="C172" s="75">
        <f t="shared" si="8"/>
        <v>5.3549874777098738</v>
      </c>
      <c r="D172" s="84">
        <f t="shared" si="9"/>
        <v>5</v>
      </c>
      <c r="F172" s="61" t="s">
        <v>115</v>
      </c>
      <c r="G172" s="69">
        <f>IF(G170&gt;G171,G170,G171)</f>
        <v>3.3333333333333335E-3</v>
      </c>
    </row>
    <row r="173" spans="1:10" x14ac:dyDescent="0.2">
      <c r="B173" s="76" t="str">
        <f t="shared" si="7"/>
        <v>θ12</v>
      </c>
      <c r="C173" s="75">
        <f t="shared" si="8"/>
        <v>7.7111819679022187</v>
      </c>
      <c r="D173" s="84">
        <f t="shared" si="9"/>
        <v>8</v>
      </c>
      <c r="F173" s="61" t="s">
        <v>141</v>
      </c>
      <c r="G173" s="66">
        <f>G172*100*F155</f>
        <v>14.666666666666668</v>
      </c>
    </row>
    <row r="174" spans="1:10" x14ac:dyDescent="0.2">
      <c r="B174" s="76" t="str">
        <f t="shared" si="7"/>
        <v>θ16</v>
      </c>
      <c r="C174" s="75">
        <f t="shared" si="8"/>
        <v>13.708767942937278</v>
      </c>
      <c r="D174" s="84">
        <f t="shared" si="9"/>
        <v>14</v>
      </c>
      <c r="F174" s="67"/>
      <c r="G174" s="67"/>
    </row>
    <row r="175" spans="1:10" x14ac:dyDescent="0.2">
      <c r="B175" s="76" t="str">
        <f t="shared" si="7"/>
        <v>θ20</v>
      </c>
      <c r="C175" s="75">
        <f t="shared" si="8"/>
        <v>21.419949910839495</v>
      </c>
      <c r="D175" s="84">
        <f t="shared" si="9"/>
        <v>21</v>
      </c>
      <c r="F175" s="1" t="s">
        <v>145</v>
      </c>
    </row>
    <row r="176" spans="1:10" x14ac:dyDescent="0.2">
      <c r="A176" s="63"/>
      <c r="D176" s="89"/>
      <c r="F176" s="64" t="s">
        <v>127</v>
      </c>
      <c r="G176" s="61">
        <f>0.0018*100*D66*100</f>
        <v>9</v>
      </c>
      <c r="H176" s="68" t="s">
        <v>118</v>
      </c>
    </row>
    <row r="177" spans="1:12" x14ac:dyDescent="0.2">
      <c r="B177" s="84" t="s">
        <v>146</v>
      </c>
      <c r="C177" s="90">
        <f>14/Fy__</f>
        <v>3.3333333333333335E-3</v>
      </c>
      <c r="D177" s="89"/>
      <c r="F177" s="53" t="s">
        <v>134</v>
      </c>
      <c r="G177" s="61">
        <f>G176/2</f>
        <v>4.5</v>
      </c>
      <c r="H177" s="68" t="s">
        <v>118</v>
      </c>
    </row>
    <row r="178" spans="1:12" x14ac:dyDescent="0.2">
      <c r="A178" s="53"/>
      <c r="B178" s="84" t="s">
        <v>147</v>
      </c>
      <c r="C178" s="51">
        <f>C177*100*B108</f>
        <v>8</v>
      </c>
      <c r="D178" s="89"/>
      <c r="F178" s="75" t="s">
        <v>139</v>
      </c>
      <c r="G178" s="75" t="s">
        <v>123</v>
      </c>
      <c r="H178" s="91" t="s">
        <v>124</v>
      </c>
    </row>
    <row r="179" spans="1:12" x14ac:dyDescent="0.2">
      <c r="B179" s="84" t="str">
        <f>CONCATENATE("θ",B126)</f>
        <v>θ10</v>
      </c>
      <c r="C179" s="84">
        <f>100/($C$178/C126)</f>
        <v>9.8174770424681039</v>
      </c>
      <c r="D179" s="92">
        <f>ROUNDDOWN(C179,0)</f>
        <v>9</v>
      </c>
      <c r="F179" s="76" t="str">
        <f>CONCATENATE("θ",B125)</f>
        <v>θ8</v>
      </c>
      <c r="G179" s="75">
        <f>100/($G$177/C125)</f>
        <v>11.170107212763709</v>
      </c>
      <c r="H179" s="92">
        <f>ROUND(G179,0)</f>
        <v>11</v>
      </c>
    </row>
    <row r="180" spans="1:12" x14ac:dyDescent="0.2">
      <c r="B180" s="84" t="str">
        <f>CONCATENATE("θ",B127)</f>
        <v>θ12</v>
      </c>
      <c r="C180" s="84">
        <f>100/($C$178/C127)</f>
        <v>14.137166941154069</v>
      </c>
      <c r="D180" s="92">
        <f>ROUNDDOWN(C180,0)</f>
        <v>14</v>
      </c>
      <c r="F180" s="76" t="str">
        <f>CONCATENATE("θ",B126)</f>
        <v>θ10</v>
      </c>
      <c r="G180" s="75">
        <f>100/($G$177/C126)</f>
        <v>17.453292519943297</v>
      </c>
      <c r="H180" s="92">
        <f>ROUND(G180,0)</f>
        <v>17</v>
      </c>
    </row>
    <row r="181" spans="1:12" x14ac:dyDescent="0.2">
      <c r="B181" s="84" t="str">
        <f>CONCATENATE("θ",B128)</f>
        <v>θ16</v>
      </c>
      <c r="C181" s="84">
        <f>100/($C$178/C128)</f>
        <v>25.132741228718345</v>
      </c>
      <c r="D181" s="92">
        <f>ROUNDDOWN(C181,0)</f>
        <v>25</v>
      </c>
      <c r="F181" s="76" t="str">
        <f>CONCATENATE("θ",B127)</f>
        <v>θ12</v>
      </c>
      <c r="G181" s="75">
        <f>100/($G$177/C127)</f>
        <v>25.132741228718345</v>
      </c>
      <c r="H181" s="92">
        <f>ROUND(G181,0)</f>
        <v>25</v>
      </c>
    </row>
    <row r="182" spans="1:12" x14ac:dyDescent="0.2">
      <c r="A182" s="57" t="s">
        <v>148</v>
      </c>
    </row>
    <row r="183" spans="1:12" ht="15" x14ac:dyDescent="0.3">
      <c r="B183" s="93">
        <f>B27</f>
        <v>0.3</v>
      </c>
      <c r="C183" s="27"/>
    </row>
    <row r="184" spans="1:12" x14ac:dyDescent="0.2">
      <c r="C184" s="94" t="s">
        <v>160</v>
      </c>
      <c r="D184" s="95" t="s">
        <v>150</v>
      </c>
      <c r="E184" s="96">
        <f>VLOOKUP(C184,E128:G130,3,FALSE)</f>
        <v>29</v>
      </c>
      <c r="F184" s="1" t="str">
        <f>J192</f>
        <v>Pos 8</v>
      </c>
    </row>
    <row r="185" spans="1:12" x14ac:dyDescent="0.2">
      <c r="J185" s="1" t="s">
        <v>151</v>
      </c>
      <c r="K185" s="97" t="str">
        <f>RIGHT(B203,2)</f>
        <v>16</v>
      </c>
      <c r="L185" s="97">
        <f>D203</f>
        <v>14</v>
      </c>
    </row>
    <row r="186" spans="1:12" x14ac:dyDescent="0.2">
      <c r="J186" s="1" t="s">
        <v>152</v>
      </c>
      <c r="K186" s="1" t="str">
        <f>RIGHT(E197,2)</f>
        <v>12</v>
      </c>
      <c r="L186" s="97">
        <f>G197</f>
        <v>25</v>
      </c>
    </row>
    <row r="187" spans="1:12" x14ac:dyDescent="0.2">
      <c r="J187" s="1" t="s">
        <v>153</v>
      </c>
      <c r="K187" s="1" t="str">
        <f>RIGHT(C194,2)</f>
        <v>16</v>
      </c>
      <c r="L187" s="97">
        <f>E194</f>
        <v>14</v>
      </c>
    </row>
    <row r="188" spans="1:12" x14ac:dyDescent="0.2">
      <c r="C188" s="94" t="s">
        <v>154</v>
      </c>
      <c r="D188" s="95" t="s">
        <v>150</v>
      </c>
      <c r="E188" s="96">
        <f>VLOOKUP(C188,E117:G122,3,FALSE)</f>
        <v>25</v>
      </c>
      <c r="F188" s="1" t="str">
        <f>J189</f>
        <v>Pos 5</v>
      </c>
      <c r="J188" s="1" t="s">
        <v>155</v>
      </c>
      <c r="K188" s="97" t="str">
        <f>RIGHT(E195,2)</f>
        <v>12</v>
      </c>
      <c r="L188" s="97">
        <f>G195</f>
        <v>25</v>
      </c>
    </row>
    <row r="189" spans="1:12" ht="13.5" x14ac:dyDescent="0.25">
      <c r="A189" s="93">
        <f>E60</f>
        <v>3.4</v>
      </c>
      <c r="C189" s="53"/>
      <c r="J189" s="1" t="s">
        <v>156</v>
      </c>
      <c r="K189" s="97" t="str">
        <f>RIGHT(C188,2)</f>
        <v>16</v>
      </c>
      <c r="L189" s="97">
        <f>E188</f>
        <v>25</v>
      </c>
    </row>
    <row r="190" spans="1:12" x14ac:dyDescent="0.2">
      <c r="C190" s="94" t="s">
        <v>160</v>
      </c>
      <c r="D190" s="95" t="s">
        <v>150</v>
      </c>
      <c r="E190" s="96">
        <f>VLOOKUP(C190,E128:G130,3,FALSE)</f>
        <v>29</v>
      </c>
      <c r="F190" s="1" t="str">
        <f>J190</f>
        <v>Pos 6</v>
      </c>
      <c r="J190" s="1" t="s">
        <v>157</v>
      </c>
      <c r="K190" s="1" t="str">
        <f>RIGHT(C184,2)</f>
        <v>10</v>
      </c>
      <c r="L190" s="97">
        <f>E184</f>
        <v>29</v>
      </c>
    </row>
    <row r="191" spans="1:12" x14ac:dyDescent="0.2">
      <c r="J191" s="1" t="s">
        <v>158</v>
      </c>
      <c r="K191" s="1" t="str">
        <f>RIGHT(C194,2)</f>
        <v>16</v>
      </c>
      <c r="L191" s="97">
        <f>E192</f>
        <v>25</v>
      </c>
    </row>
    <row r="192" spans="1:12" x14ac:dyDescent="0.2">
      <c r="C192" s="94" t="s">
        <v>154</v>
      </c>
      <c r="D192" s="95" t="s">
        <v>150</v>
      </c>
      <c r="E192" s="96">
        <f>VLOOKUP(C192,B179:D181,3,FALSE)</f>
        <v>25</v>
      </c>
      <c r="F192" s="1" t="str">
        <f>J191</f>
        <v>Pos 7</v>
      </c>
      <c r="J192" s="1" t="s">
        <v>159</v>
      </c>
      <c r="K192" s="1" t="str">
        <f>RIGHT(C190,2)</f>
        <v>10</v>
      </c>
      <c r="L192" s="97">
        <f>E190</f>
        <v>29</v>
      </c>
    </row>
    <row r="193" spans="1:8" x14ac:dyDescent="0.2">
      <c r="C193" s="33"/>
    </row>
    <row r="194" spans="1:8" ht="13.5" x14ac:dyDescent="0.25">
      <c r="A194" s="98">
        <f>A39</f>
        <v>0</v>
      </c>
      <c r="C194" s="94" t="s">
        <v>154</v>
      </c>
      <c r="D194" s="95" t="s">
        <v>150</v>
      </c>
      <c r="E194" s="96">
        <f>VLOOKUP(C194,B170:D175,3,FALSE)</f>
        <v>14</v>
      </c>
      <c r="F194" s="1" t="str">
        <f>J187</f>
        <v>Pos 3</v>
      </c>
    </row>
    <row r="195" spans="1:8" x14ac:dyDescent="0.2">
      <c r="E195" s="94" t="s">
        <v>149</v>
      </c>
      <c r="F195" s="99" t="s">
        <v>150</v>
      </c>
      <c r="G195" s="96">
        <f>VLOOKUP(E195,F179:H181,3,FALSE)</f>
        <v>25</v>
      </c>
      <c r="H195" s="2" t="str">
        <f>J188</f>
        <v>Pos 4</v>
      </c>
    </row>
    <row r="197" spans="1:8" ht="13.5" x14ac:dyDescent="0.25">
      <c r="D197" s="98">
        <f>D42</f>
        <v>0.5</v>
      </c>
      <c r="E197" s="94" t="s">
        <v>149</v>
      </c>
      <c r="F197" s="99" t="s">
        <v>150</v>
      </c>
      <c r="G197" s="96">
        <f>VLOOKUP(E197,F179:H181,3,FALSE)</f>
        <v>25</v>
      </c>
      <c r="H197" s="2" t="str">
        <f>J186</f>
        <v>Pos 2</v>
      </c>
    </row>
    <row r="198" spans="1:8" ht="13.5" x14ac:dyDescent="0.25">
      <c r="A198" s="98">
        <f>A43</f>
        <v>0.2</v>
      </c>
      <c r="C198" s="98">
        <f>C43</f>
        <v>1.4</v>
      </c>
    </row>
    <row r="201" spans="1:8" ht="13.5" x14ac:dyDescent="0.25">
      <c r="B201" s="98">
        <f>B46</f>
        <v>1.9</v>
      </c>
    </row>
    <row r="203" spans="1:8" x14ac:dyDescent="0.2">
      <c r="B203" s="94" t="s">
        <v>154</v>
      </c>
      <c r="C203" s="95" t="s">
        <v>150</v>
      </c>
      <c r="D203" s="96">
        <f>VLOOKUP(B203,B147:D152,3,FALSE)</f>
        <v>14</v>
      </c>
      <c r="E203" s="1" t="str">
        <f>J185</f>
        <v xml:space="preserve">Pos 1 </v>
      </c>
    </row>
    <row r="215" spans="2:2" ht="13.5" x14ac:dyDescent="0.25">
      <c r="B215" s="100">
        <f>B41</f>
        <v>0</v>
      </c>
    </row>
  </sheetData>
  <mergeCells count="6">
    <mergeCell ref="G111:H111"/>
    <mergeCell ref="A69:D69"/>
    <mergeCell ref="K69:L69"/>
    <mergeCell ref="K70:L70"/>
    <mergeCell ref="A82:B82"/>
    <mergeCell ref="E82:E83"/>
  </mergeCells>
  <dataValidations count="6">
    <dataValidation type="list" allowBlank="1" showInputMessage="1" showErrorMessage="1" sqref="C188" xr:uid="{00000000-0002-0000-0000-000000000000}">
      <formula1>$E$117:$E$122</formula1>
    </dataValidation>
    <dataValidation type="list" allowBlank="1" showInputMessage="1" showErrorMessage="1" sqref="C194" xr:uid="{00000000-0002-0000-0000-000001000000}">
      <formula1>$B$170:$B$175</formula1>
    </dataValidation>
    <dataValidation type="list" allowBlank="1" showInputMessage="1" showErrorMessage="1" sqref="B203" xr:uid="{00000000-0002-0000-0000-000002000000}">
      <formula1>$B$147:$B$152</formula1>
    </dataValidation>
    <dataValidation type="list" allowBlank="1" showInputMessage="1" showErrorMessage="1" sqref="C184 C190" xr:uid="{00000000-0002-0000-0000-000003000000}">
      <formula1>$E$128:$E$130</formula1>
    </dataValidation>
    <dataValidation type="list" allowBlank="1" showInputMessage="1" showErrorMessage="1" sqref="E197 E195" xr:uid="{00000000-0002-0000-0000-000004000000}">
      <formula1>$F$179:$F$181</formula1>
    </dataValidation>
    <dataValidation type="list" allowBlank="1" showInputMessage="1" showErrorMessage="1" sqref="C192" xr:uid="{00000000-0002-0000-0000-000005000000}">
      <formula1>$B$179:$B$181</formula1>
    </dataValidation>
  </dataValidations>
  <printOptions horizontalCentered="1"/>
  <pageMargins left="0.74803149606299213" right="0.74803149606299213" top="0.94488188976377963" bottom="0.94488188976377963" header="0" footer="0"/>
  <pageSetup orientation="portrait" horizontalDpi="300" verticalDpi="300" r:id="rId1"/>
  <headerFooter alignWithMargins="0"/>
  <rowBreaks count="1" manualBreakCount="1">
    <brk id="100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MR MEN JP</vt:lpstr>
      <vt:lpstr>'MR MEN JP'!_1_m</vt:lpstr>
      <vt:lpstr>'MR MEN JP'!_2Rn_m_fy</vt:lpstr>
      <vt:lpstr>'MR MEN JP'!altura_total</vt:lpstr>
      <vt:lpstr>'MR MEN JP'!Área_de_impresión</vt:lpstr>
      <vt:lpstr>'MR MEN JP'!AUTOS</vt:lpstr>
      <vt:lpstr>'MR MEN JP'!b</vt:lpstr>
      <vt:lpstr>'MR MEN JP'!Base</vt:lpstr>
      <vt:lpstr>'MR MEN JP'!CM</vt:lpstr>
      <vt:lpstr>'MR MEN JP'!coeficientedefriccion</vt:lpstr>
      <vt:lpstr>'MR MEN JP'!corona</vt:lpstr>
      <vt:lpstr>'MR MEN JP'!CV</vt:lpstr>
      <vt:lpstr>'MR MEN JP'!e</vt:lpstr>
      <vt:lpstr>'MR MEN JP'!Ea</vt:lpstr>
      <vt:lpstr>'MR MEN JP'!espesorzapata</vt:lpstr>
      <vt:lpstr>'MR MEN JP'!fc__</vt:lpstr>
      <vt:lpstr>'MR MEN JP'!Fy__</vt:lpstr>
      <vt:lpstr>'MR MEN JP'!hsobrealtura</vt:lpstr>
      <vt:lpstr>'MR MEN JP'!Ka</vt:lpstr>
      <vt:lpstr>'MR MEN JP'!m</vt:lpstr>
      <vt:lpstr>'MR MEN JP'!Mu</vt:lpstr>
      <vt:lpstr>'MR MEN JP'!Ǿ</vt:lpstr>
      <vt:lpstr>'MR MEN JP'!Ǿrad</vt:lpstr>
      <vt:lpstr>'MR MEN JP'!peHA</vt:lpstr>
      <vt:lpstr>'MR MEN JP'!raiz_1_2Rn_m_fy</vt:lpstr>
      <vt:lpstr>'MR MEN JP'!relleno</vt:lpstr>
      <vt:lpstr>'MR MEN JP'!Rn</vt:lpstr>
      <vt:lpstr>'MR MEN JP'!sobrecarga</vt:lpstr>
      <vt:lpstr>'MR MEN JP'!SumVerticales</vt:lpstr>
      <vt:lpstr>'MR MEN JP'!talon</vt:lpstr>
      <vt:lpstr>'MR MEN JP'!TIERRA</vt:lpstr>
      <vt:lpstr>'MR MEN JP'!ﻻ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cps</cp:lastModifiedBy>
  <dcterms:created xsi:type="dcterms:W3CDTF">2013-07-14T22:30:42Z</dcterms:created>
  <dcterms:modified xsi:type="dcterms:W3CDTF">2020-02-18T15:47:13Z</dcterms:modified>
</cp:coreProperties>
</file>