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7935"/>
  </bookViews>
  <sheets>
    <sheet name="Hoja1" sheetId="1" r:id="rId1"/>
    <sheet name="Hoja2" sheetId="2" r:id="rId2"/>
    <sheet name="Hoja3" sheetId="3" r:id="rId3"/>
    <sheet name="Hoja5" sheetId="5" r:id="rId4"/>
  </sheets>
  <calcPr calcId="145621"/>
  <fileRecoveryPr repairLoad="1"/>
</workbook>
</file>

<file path=xl/calcChain.xml><?xml version="1.0" encoding="utf-8"?>
<calcChain xmlns="http://schemas.openxmlformats.org/spreadsheetml/2006/main">
  <c r="AO7" i="1" l="1"/>
  <c r="AO6" i="1"/>
  <c r="AO5" i="1"/>
  <c r="AM7" i="1"/>
  <c r="AM6" i="1"/>
  <c r="AM5" i="1"/>
  <c r="AK7" i="1"/>
  <c r="AK6" i="1"/>
  <c r="AK5" i="1"/>
  <c r="AA7" i="1"/>
  <c r="AA6" i="1"/>
  <c r="AA5" i="1"/>
  <c r="J7" i="1"/>
  <c r="J6" i="1"/>
  <c r="J5" i="1"/>
  <c r="G7" i="1"/>
  <c r="F7" i="1"/>
  <c r="G6" i="1"/>
  <c r="F6" i="1"/>
  <c r="G5" i="1"/>
  <c r="F5" i="1"/>
  <c r="U7" i="1"/>
  <c r="U6" i="1"/>
  <c r="U5" i="1"/>
  <c r="S7" i="1"/>
  <c r="S6" i="1"/>
  <c r="S5" i="1"/>
  <c r="M7" i="1"/>
  <c r="M6" i="1"/>
  <c r="M5" i="1"/>
  <c r="AF7" i="1"/>
  <c r="AF6" i="1"/>
  <c r="AF5" i="1"/>
  <c r="AB7" i="1"/>
  <c r="AB6" i="1"/>
  <c r="AB5" i="1"/>
  <c r="T7" i="1"/>
  <c r="T6" i="1"/>
  <c r="T5" i="1"/>
  <c r="R7" i="1"/>
  <c r="R6" i="1"/>
  <c r="R5" i="1"/>
  <c r="O7" i="1"/>
  <c r="N7" i="1"/>
  <c r="O6" i="1"/>
  <c r="N6" i="1"/>
  <c r="O5" i="1"/>
  <c r="N5" i="1"/>
  <c r="L7" i="1"/>
  <c r="K7" i="1"/>
  <c r="L6" i="1"/>
  <c r="K6" i="1"/>
  <c r="L5" i="1"/>
  <c r="K5" i="1"/>
  <c r="I7" i="1"/>
  <c r="H7" i="1"/>
  <c r="I6" i="1"/>
  <c r="H6" i="1"/>
  <c r="I5" i="1"/>
  <c r="H5" i="1"/>
  <c r="E7" i="1"/>
  <c r="D7" i="1"/>
  <c r="E6" i="1"/>
  <c r="D6" i="1"/>
  <c r="E5" i="1"/>
  <c r="D5" i="1"/>
  <c r="P7" i="1"/>
  <c r="P6" i="1"/>
  <c r="P5" i="1"/>
  <c r="Q7" i="1"/>
  <c r="Q6" i="1"/>
  <c r="Q5" i="1"/>
  <c r="W3" i="1"/>
  <c r="U3" i="1"/>
  <c r="S3" i="1"/>
  <c r="Q3" i="1"/>
  <c r="J3" i="1"/>
  <c r="F3" i="1"/>
  <c r="AA3" i="1"/>
  <c r="AN3" i="1"/>
  <c r="AO3" i="1" s="1"/>
  <c r="AL3" i="1"/>
  <c r="AM3" i="1" s="1"/>
  <c r="AK3" i="1"/>
  <c r="M31" i="1"/>
  <c r="J31" i="1"/>
  <c r="U31" i="1"/>
  <c r="W31" i="1"/>
  <c r="AA31" i="1"/>
  <c r="AN31" i="1"/>
  <c r="AO31" i="1" s="1"/>
  <c r="AL31" i="1"/>
  <c r="AM31" i="1" s="1"/>
  <c r="AK31" i="1"/>
  <c r="AK33" i="1"/>
  <c r="AK34" i="1"/>
  <c r="AF31" i="1"/>
  <c r="AB33" i="1"/>
  <c r="AB34" i="1"/>
  <c r="R33" i="1"/>
  <c r="R34" i="1"/>
  <c r="S31" i="1"/>
  <c r="P33" i="1"/>
  <c r="P34" i="1"/>
  <c r="Q31" i="1"/>
  <c r="Q33" i="1"/>
  <c r="Q34" i="1"/>
  <c r="O33" i="1"/>
  <c r="O34" i="1"/>
  <c r="N33" i="1"/>
  <c r="N34" i="1"/>
  <c r="K33" i="1"/>
  <c r="K34" i="1"/>
  <c r="H33" i="1"/>
  <c r="H34" i="1"/>
  <c r="E33" i="1"/>
  <c r="E34" i="1"/>
  <c r="F31" i="1"/>
  <c r="F33" i="1"/>
  <c r="F34" i="1"/>
  <c r="D33" i="1"/>
  <c r="D34" i="1"/>
  <c r="AA41" i="1"/>
  <c r="AK41" i="1"/>
  <c r="AL41" i="1"/>
  <c r="AM41" i="1"/>
  <c r="AN41" i="1"/>
  <c r="AO41" i="1"/>
  <c r="W41" i="1"/>
  <c r="S41" i="1"/>
  <c r="Q41" i="1"/>
  <c r="M41" i="1"/>
  <c r="J41" i="1"/>
  <c r="F41" i="1"/>
  <c r="U41" i="1"/>
  <c r="S20" i="1" l="1"/>
  <c r="AA20" i="1"/>
  <c r="AN20" i="1"/>
  <c r="AO20" i="1" s="1"/>
  <c r="AL20" i="1"/>
  <c r="AM20" i="1" s="1"/>
  <c r="AK20" i="1"/>
  <c r="W20" i="1"/>
  <c r="R20" i="1"/>
  <c r="P22" i="1"/>
  <c r="P23" i="1"/>
  <c r="Q20" i="1"/>
  <c r="O22" i="1"/>
  <c r="O23" i="1"/>
  <c r="L22" i="1"/>
  <c r="L23" i="1"/>
  <c r="M20" i="1"/>
  <c r="K22" i="1"/>
  <c r="K23" i="1"/>
  <c r="I22" i="1"/>
  <c r="I23" i="1"/>
  <c r="J20" i="1"/>
  <c r="E22" i="1"/>
  <c r="E23" i="1"/>
  <c r="F20" i="1"/>
  <c r="D22" i="1"/>
  <c r="D23" i="1"/>
  <c r="U20" i="1"/>
  <c r="AA40" i="1" l="1"/>
  <c r="U40" i="1"/>
  <c r="U39" i="1"/>
  <c r="W40" i="1"/>
  <c r="S40" i="1"/>
  <c r="Q40" i="1"/>
  <c r="M40" i="1"/>
  <c r="J40" i="1"/>
  <c r="F40" i="1"/>
  <c r="AN40" i="1"/>
  <c r="AO40" i="1" s="1"/>
  <c r="AM40" i="1"/>
  <c r="AL40" i="1"/>
  <c r="AK40" i="1"/>
  <c r="S39" i="1"/>
  <c r="Q39" i="1"/>
  <c r="M39" i="1"/>
  <c r="J39" i="1"/>
  <c r="F39" i="1"/>
  <c r="W39" i="1"/>
  <c r="AA39" i="1"/>
  <c r="AN39" i="1"/>
  <c r="AO39" i="1" s="1"/>
  <c r="AL39" i="1"/>
  <c r="AM39" i="1" s="1"/>
  <c r="AK39" i="1"/>
  <c r="AJ39" i="1"/>
  <c r="W19" i="1" l="1"/>
  <c r="S19" i="1"/>
  <c r="AA19" i="1"/>
  <c r="AO19" i="1"/>
  <c r="AN19" i="1"/>
  <c r="AL19" i="1"/>
  <c r="AM19" i="1" s="1"/>
  <c r="AK19" i="1"/>
  <c r="AJ19" i="1"/>
  <c r="AF22" i="1"/>
  <c r="AF23" i="1"/>
  <c r="Q19" i="1"/>
  <c r="M19" i="1"/>
  <c r="J19" i="1"/>
  <c r="F19" i="1"/>
  <c r="U19" i="1"/>
  <c r="AA18" i="1"/>
  <c r="W18" i="1"/>
  <c r="S18" i="1"/>
  <c r="AK18" i="1"/>
  <c r="AL18" i="1"/>
  <c r="AM18" i="1" s="1"/>
  <c r="AN18" i="1"/>
  <c r="AO18" i="1" s="1"/>
  <c r="R18" i="1"/>
  <c r="Q18" i="1"/>
  <c r="M18" i="1"/>
  <c r="J18" i="1"/>
  <c r="F18" i="1"/>
  <c r="U18" i="1"/>
  <c r="AA17" i="1"/>
  <c r="AA16" i="1"/>
  <c r="AA15" i="1"/>
  <c r="U17" i="1"/>
  <c r="W17" i="1"/>
  <c r="W16" i="1"/>
  <c r="J17" i="1"/>
  <c r="J16" i="1"/>
  <c r="J15" i="1"/>
  <c r="J14" i="1"/>
  <c r="J13" i="1"/>
  <c r="J12" i="1"/>
  <c r="J11" i="1"/>
  <c r="AN17" i="1"/>
  <c r="AO17" i="1" s="1"/>
  <c r="AK17" i="1"/>
  <c r="AL17" i="1"/>
  <c r="AM17" i="1" s="1"/>
  <c r="R22" i="1"/>
  <c r="R23" i="1"/>
  <c r="S17" i="1"/>
  <c r="Q17" i="1"/>
  <c r="M17" i="1"/>
  <c r="F17" i="1"/>
  <c r="AA79" i="1"/>
  <c r="W79" i="1"/>
  <c r="S79" i="1"/>
  <c r="Q79" i="1"/>
  <c r="M79" i="1"/>
  <c r="J79" i="1"/>
  <c r="F79" i="1"/>
  <c r="AN79" i="1"/>
  <c r="AO79" i="1" s="1"/>
  <c r="AL79" i="1"/>
  <c r="AM79" i="1" s="1"/>
  <c r="AK79" i="1"/>
  <c r="R79" i="1"/>
  <c r="AA30" i="1" l="1"/>
  <c r="AA29" i="1"/>
  <c r="W30" i="1"/>
  <c r="W29" i="1"/>
  <c r="U30" i="1"/>
  <c r="U29" i="1"/>
  <c r="Q30" i="1"/>
  <c r="M30" i="1"/>
  <c r="M29" i="1"/>
  <c r="M28" i="1"/>
  <c r="M27" i="1"/>
  <c r="J30" i="1"/>
  <c r="J29" i="1"/>
  <c r="F30" i="1"/>
  <c r="F29" i="1"/>
  <c r="AN30" i="1"/>
  <c r="AO30" i="1" s="1"/>
  <c r="AL30" i="1"/>
  <c r="AM30" i="1" s="1"/>
  <c r="AK30" i="1"/>
  <c r="S30" i="1"/>
  <c r="R53" i="1"/>
  <c r="P53" i="1"/>
  <c r="O53" i="1"/>
  <c r="N53" i="1"/>
  <c r="L53" i="1"/>
  <c r="K53" i="1"/>
  <c r="J53" i="1"/>
  <c r="I53" i="1"/>
  <c r="H53" i="1"/>
  <c r="G53" i="1"/>
  <c r="E53" i="1"/>
  <c r="D53" i="1"/>
  <c r="R52" i="1"/>
  <c r="P52" i="1"/>
  <c r="O52" i="1"/>
  <c r="N52" i="1"/>
  <c r="L52" i="1"/>
  <c r="K52" i="1"/>
  <c r="J52" i="1"/>
  <c r="I52" i="1"/>
  <c r="H52" i="1"/>
  <c r="G52" i="1"/>
  <c r="E52" i="1"/>
  <c r="D52" i="1"/>
  <c r="R51" i="1"/>
  <c r="P51" i="1"/>
  <c r="O51" i="1"/>
  <c r="N51" i="1"/>
  <c r="L51" i="1"/>
  <c r="K51" i="1"/>
  <c r="J51" i="1"/>
  <c r="I51" i="1"/>
  <c r="H51" i="1"/>
  <c r="G51" i="1"/>
  <c r="E51" i="1"/>
  <c r="D51" i="1"/>
  <c r="AM53" i="1"/>
  <c r="AM52" i="1"/>
  <c r="AM51" i="1"/>
  <c r="AK53" i="1"/>
  <c r="AK52" i="1"/>
  <c r="AK51" i="1"/>
  <c r="S49" i="1"/>
  <c r="Q49" i="1"/>
  <c r="AN49" i="1"/>
  <c r="AO49" i="1" s="1"/>
  <c r="AL49" i="1"/>
  <c r="AM49" i="1" s="1"/>
  <c r="AK49" i="1"/>
  <c r="Q64" i="1"/>
  <c r="Q63" i="1"/>
  <c r="AN64" i="1"/>
  <c r="AO64" i="1" s="1"/>
  <c r="AK64" i="1"/>
  <c r="AK66" i="1"/>
  <c r="AK67" i="1"/>
  <c r="AL64" i="1"/>
  <c r="AM64" i="1"/>
  <c r="AM66" i="1" s="1"/>
  <c r="R66" i="1"/>
  <c r="R67" i="1"/>
  <c r="S64" i="1"/>
  <c r="P66" i="1"/>
  <c r="P67" i="1"/>
  <c r="O66" i="1"/>
  <c r="O67" i="1"/>
  <c r="N66" i="1"/>
  <c r="N67" i="1"/>
  <c r="L66" i="1"/>
  <c r="L67" i="1"/>
  <c r="M64" i="1"/>
  <c r="K66" i="1"/>
  <c r="K67" i="1"/>
  <c r="J64" i="1"/>
  <c r="J66" i="1"/>
  <c r="J67" i="1"/>
  <c r="E66" i="1"/>
  <c r="E67" i="1"/>
  <c r="F64" i="1"/>
  <c r="D66" i="1"/>
  <c r="D67" i="1"/>
  <c r="J55" i="1"/>
  <c r="I67" i="1" s="1"/>
  <c r="H68" i="1"/>
  <c r="H67" i="1"/>
  <c r="H66" i="1"/>
  <c r="AM67" i="1" l="1"/>
  <c r="I66" i="1"/>
  <c r="I68" i="1"/>
  <c r="R68" i="1" l="1"/>
  <c r="P68" i="1"/>
  <c r="O68" i="1"/>
  <c r="N68" i="1"/>
  <c r="L68" i="1"/>
  <c r="K68" i="1"/>
  <c r="G68" i="1"/>
  <c r="E68" i="1"/>
  <c r="D68" i="1"/>
  <c r="W63" i="1"/>
  <c r="W62" i="1"/>
  <c r="AA63" i="1"/>
  <c r="AA62" i="1"/>
  <c r="AA61" i="1"/>
  <c r="AA60" i="1"/>
  <c r="AN63" i="1"/>
  <c r="AO63" i="1" s="1"/>
  <c r="AL63" i="1"/>
  <c r="AM63" i="1" s="1"/>
  <c r="AK63" i="1"/>
  <c r="S63" i="1"/>
  <c r="M63" i="1"/>
  <c r="J63" i="1"/>
  <c r="F63" i="1"/>
  <c r="S29" i="1" l="1"/>
  <c r="Q29" i="1"/>
  <c r="AK29" i="1"/>
  <c r="AM29" i="1"/>
  <c r="AO29" i="1"/>
  <c r="AN16" i="1"/>
  <c r="AO16" i="1" s="1"/>
  <c r="AK16" i="1"/>
  <c r="AL16" i="1"/>
  <c r="AM16" i="1" s="1"/>
  <c r="T22" i="1"/>
  <c r="T23" i="1"/>
  <c r="U16" i="1"/>
  <c r="S16" i="1"/>
  <c r="Q16" i="1"/>
  <c r="M16" i="1"/>
  <c r="F16" i="1"/>
  <c r="AN29" i="1" l="1"/>
  <c r="AL29" i="1"/>
  <c r="X7" i="2" l="1"/>
  <c r="X5" i="2"/>
  <c r="W7" i="2"/>
  <c r="R7" i="2"/>
  <c r="Q7" i="2"/>
  <c r="W5" i="2"/>
  <c r="R5" i="2"/>
  <c r="Q5" i="2"/>
  <c r="R3" i="2"/>
  <c r="Q3" i="2"/>
  <c r="L6" i="3" l="1"/>
  <c r="K6" i="3"/>
  <c r="E7" i="3"/>
  <c r="E6" i="3"/>
  <c r="T45" i="1"/>
  <c r="R45" i="1"/>
  <c r="P45" i="1"/>
  <c r="O45" i="1"/>
  <c r="N45" i="1"/>
  <c r="L45" i="1"/>
  <c r="K45" i="1"/>
  <c r="I45" i="1"/>
  <c r="H45" i="1"/>
  <c r="G45" i="1"/>
  <c r="E45" i="1"/>
  <c r="D45" i="1"/>
  <c r="T44" i="1"/>
  <c r="R44" i="1"/>
  <c r="P44" i="1"/>
  <c r="O44" i="1"/>
  <c r="N44" i="1"/>
  <c r="L44" i="1"/>
  <c r="K44" i="1"/>
  <c r="I44" i="1"/>
  <c r="H44" i="1"/>
  <c r="G44" i="1"/>
  <c r="E44" i="1"/>
  <c r="D44" i="1"/>
  <c r="T43" i="1"/>
  <c r="R43" i="1"/>
  <c r="P43" i="1"/>
  <c r="O43" i="1"/>
  <c r="N43" i="1"/>
  <c r="L43" i="1"/>
  <c r="K43" i="1"/>
  <c r="I43" i="1"/>
  <c r="H43" i="1"/>
  <c r="G43" i="1"/>
  <c r="E43" i="1"/>
  <c r="D43" i="1"/>
  <c r="AO2" i="1"/>
  <c r="AN2" i="1"/>
  <c r="AN78" i="1"/>
  <c r="AN77" i="1"/>
  <c r="AN71" i="1"/>
  <c r="AO71" i="1" s="1"/>
  <c r="AN70" i="1"/>
  <c r="AO70" i="1" s="1"/>
  <c r="AO78" i="1"/>
  <c r="AO77" i="1"/>
  <c r="AO83" i="1" s="1"/>
  <c r="AO9" i="1"/>
  <c r="AN62" i="1"/>
  <c r="AO62" i="1" s="1"/>
  <c r="AN61" i="1"/>
  <c r="AO61" i="1" s="1"/>
  <c r="AN60" i="1"/>
  <c r="AO60" i="1" s="1"/>
  <c r="AN59" i="1"/>
  <c r="AO59" i="1" s="1"/>
  <c r="AN58" i="1"/>
  <c r="AO58" i="1" s="1"/>
  <c r="AN57" i="1"/>
  <c r="AO57" i="1" s="1"/>
  <c r="AN56" i="1"/>
  <c r="AO56" i="1" s="1"/>
  <c r="AN55" i="1"/>
  <c r="AO55" i="1" s="1"/>
  <c r="AN48" i="1"/>
  <c r="AO48" i="1" s="1"/>
  <c r="AN47" i="1"/>
  <c r="AO47" i="1" s="1"/>
  <c r="AN38" i="1"/>
  <c r="AO38" i="1" s="1"/>
  <c r="AN37" i="1"/>
  <c r="AO37" i="1" s="1"/>
  <c r="AN28" i="1"/>
  <c r="AO28" i="1" s="1"/>
  <c r="AN27" i="1"/>
  <c r="AO27" i="1" s="1"/>
  <c r="AN26" i="1"/>
  <c r="AO26" i="1" s="1"/>
  <c r="AN15" i="1"/>
  <c r="AO15" i="1" s="1"/>
  <c r="AN14" i="1"/>
  <c r="AO14" i="1" s="1"/>
  <c r="AN13" i="1"/>
  <c r="AO13" i="1" s="1"/>
  <c r="AN12" i="1"/>
  <c r="AO12" i="1" s="1"/>
  <c r="AN11" i="1"/>
  <c r="AO11" i="1" s="1"/>
  <c r="AN10" i="1"/>
  <c r="AO10" i="1" s="1"/>
  <c r="AN9" i="1"/>
  <c r="G67" i="1"/>
  <c r="G66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R83" i="1"/>
  <c r="Q83" i="1"/>
  <c r="P83" i="1"/>
  <c r="O83" i="1"/>
  <c r="N83" i="1"/>
  <c r="M83" i="1"/>
  <c r="L83" i="1"/>
  <c r="K83" i="1"/>
  <c r="I83" i="1"/>
  <c r="H83" i="1"/>
  <c r="G83" i="1"/>
  <c r="F83" i="1"/>
  <c r="E83" i="1"/>
  <c r="D83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R81" i="1"/>
  <c r="Q81" i="1"/>
  <c r="P81" i="1"/>
  <c r="O81" i="1"/>
  <c r="N81" i="1"/>
  <c r="M81" i="1"/>
  <c r="L81" i="1"/>
  <c r="K81" i="1"/>
  <c r="I81" i="1"/>
  <c r="H81" i="1"/>
  <c r="G81" i="1"/>
  <c r="F81" i="1"/>
  <c r="E81" i="1"/>
  <c r="D81" i="1"/>
  <c r="AM83" i="1"/>
  <c r="AM82" i="1"/>
  <c r="AM81" i="1"/>
  <c r="AM75" i="1"/>
  <c r="AM74" i="1"/>
  <c r="AM73" i="1"/>
  <c r="AL78" i="1"/>
  <c r="AM78" i="1" s="1"/>
  <c r="AL77" i="1"/>
  <c r="AM77" i="1" s="1"/>
  <c r="AL71" i="1"/>
  <c r="AM71" i="1" s="1"/>
  <c r="AL70" i="1"/>
  <c r="AM70" i="1" s="1"/>
  <c r="AL62" i="1"/>
  <c r="AM62" i="1" s="1"/>
  <c r="AL61" i="1"/>
  <c r="AM61" i="1" s="1"/>
  <c r="AL60" i="1"/>
  <c r="AM60" i="1" s="1"/>
  <c r="AL59" i="1"/>
  <c r="AM59" i="1" s="1"/>
  <c r="AL58" i="1"/>
  <c r="AM58" i="1" s="1"/>
  <c r="AL57" i="1"/>
  <c r="AM57" i="1" s="1"/>
  <c r="AL56" i="1"/>
  <c r="AM56" i="1" s="1"/>
  <c r="AL55" i="1"/>
  <c r="AM55" i="1" s="1"/>
  <c r="AL48" i="1"/>
  <c r="AM48" i="1" s="1"/>
  <c r="AL47" i="1"/>
  <c r="AM47" i="1" s="1"/>
  <c r="AL38" i="1"/>
  <c r="AM38" i="1" s="1"/>
  <c r="AL37" i="1"/>
  <c r="AM37" i="1" s="1"/>
  <c r="AL28" i="1"/>
  <c r="AM28" i="1" s="1"/>
  <c r="AL27" i="1"/>
  <c r="AM27" i="1" s="1"/>
  <c r="AL26" i="1"/>
  <c r="AM26" i="1" s="1"/>
  <c r="AL15" i="1"/>
  <c r="AM15" i="1" s="1"/>
  <c r="AL14" i="1"/>
  <c r="AM14" i="1" s="1"/>
  <c r="AL13" i="1"/>
  <c r="AM13" i="1" s="1"/>
  <c r="AL12" i="1"/>
  <c r="AM12" i="1" s="1"/>
  <c r="AL11" i="1"/>
  <c r="AM11" i="1" s="1"/>
  <c r="AL10" i="1"/>
  <c r="AM10" i="1" s="1"/>
  <c r="AL9" i="1"/>
  <c r="AM9" i="1" s="1"/>
  <c r="AM2" i="1"/>
  <c r="AK2" i="1"/>
  <c r="AL2" i="1"/>
  <c r="W38" i="1"/>
  <c r="W37" i="1"/>
  <c r="U38" i="1"/>
  <c r="U37" i="1"/>
  <c r="U43" i="1" s="1"/>
  <c r="S38" i="1"/>
  <c r="S37" i="1"/>
  <c r="Q38" i="1"/>
  <c r="Q37" i="1"/>
  <c r="Q44" i="1" s="1"/>
  <c r="M38" i="1"/>
  <c r="M37" i="1"/>
  <c r="J38" i="1"/>
  <c r="J37" i="1"/>
  <c r="J43" i="1" s="1"/>
  <c r="F38" i="1"/>
  <c r="F37" i="1"/>
  <c r="AA38" i="1"/>
  <c r="AA44" i="1" s="1"/>
  <c r="AA37" i="1"/>
  <c r="AK37" i="1"/>
  <c r="AK62" i="1"/>
  <c r="AJ62" i="1"/>
  <c r="AF62" i="1"/>
  <c r="S62" i="1"/>
  <c r="Q62" i="1"/>
  <c r="M62" i="1"/>
  <c r="J62" i="1"/>
  <c r="F62" i="1"/>
  <c r="U62" i="1"/>
  <c r="AK61" i="1"/>
  <c r="W61" i="1"/>
  <c r="S61" i="1"/>
  <c r="Q61" i="1"/>
  <c r="M61" i="1"/>
  <c r="J61" i="1"/>
  <c r="F61" i="1"/>
  <c r="U61" i="1"/>
  <c r="U28" i="1"/>
  <c r="W28" i="1"/>
  <c r="AA28" i="1"/>
  <c r="AK28" i="1"/>
  <c r="S28" i="1"/>
  <c r="Q28" i="1"/>
  <c r="J28" i="1"/>
  <c r="F28" i="1"/>
  <c r="AJ71" i="1"/>
  <c r="AK27" i="1"/>
  <c r="AA27" i="1"/>
  <c r="U27" i="1"/>
  <c r="U26" i="1"/>
  <c r="W27" i="1"/>
  <c r="S27" i="1"/>
  <c r="J27" i="1"/>
  <c r="F27" i="1"/>
  <c r="AF27" i="1"/>
  <c r="AF35" i="1" s="1"/>
  <c r="AI78" i="1"/>
  <c r="AF78" i="1" s="1"/>
  <c r="AB78" i="1"/>
  <c r="AK78" i="1"/>
  <c r="AA78" i="1"/>
  <c r="W78" i="1"/>
  <c r="U78" i="1"/>
  <c r="S78" i="1"/>
  <c r="Q78" i="1"/>
  <c r="M78" i="1"/>
  <c r="J78" i="1"/>
  <c r="F78" i="1"/>
  <c r="AK77" i="1"/>
  <c r="AA77" i="1"/>
  <c r="W77" i="1"/>
  <c r="U77" i="1"/>
  <c r="S77" i="1"/>
  <c r="S83" i="1" s="1"/>
  <c r="Q77" i="1"/>
  <c r="M77" i="1"/>
  <c r="J77" i="1"/>
  <c r="J83" i="1" s="1"/>
  <c r="F77" i="1"/>
  <c r="AK71" i="1"/>
  <c r="AA71" i="1"/>
  <c r="W71" i="1"/>
  <c r="U71" i="1"/>
  <c r="S71" i="1"/>
  <c r="Q71" i="1"/>
  <c r="M71" i="1"/>
  <c r="J71" i="1"/>
  <c r="F71" i="1"/>
  <c r="AK70" i="1"/>
  <c r="AA70" i="1"/>
  <c r="W70" i="1"/>
  <c r="U70" i="1"/>
  <c r="S70" i="1"/>
  <c r="Q70" i="1"/>
  <c r="M70" i="1"/>
  <c r="J70" i="1"/>
  <c r="F70" i="1"/>
  <c r="W26" i="1"/>
  <c r="F26" i="1"/>
  <c r="J26" i="1"/>
  <c r="J35" i="1" s="1"/>
  <c r="M26" i="1"/>
  <c r="S26" i="1"/>
  <c r="Q27" i="1"/>
  <c r="Q26" i="1"/>
  <c r="AF44" i="1"/>
  <c r="AF43" i="1"/>
  <c r="AB43" i="1"/>
  <c r="AK38" i="1"/>
  <c r="AF38" i="1"/>
  <c r="AF45" i="1" s="1"/>
  <c r="AB38" i="1"/>
  <c r="AB45" i="1" s="1"/>
  <c r="T35" i="1"/>
  <c r="R35" i="1"/>
  <c r="P35" i="1"/>
  <c r="O35" i="1"/>
  <c r="N35" i="1"/>
  <c r="L35" i="1"/>
  <c r="K35" i="1"/>
  <c r="I35" i="1"/>
  <c r="H35" i="1"/>
  <c r="G35" i="1"/>
  <c r="E35" i="1"/>
  <c r="D35" i="1"/>
  <c r="T34" i="1"/>
  <c r="L34" i="1"/>
  <c r="I34" i="1"/>
  <c r="G34" i="1"/>
  <c r="T33" i="1"/>
  <c r="L33" i="1"/>
  <c r="I33" i="1"/>
  <c r="G33" i="1"/>
  <c r="AB35" i="1"/>
  <c r="AF34" i="1"/>
  <c r="AF33" i="1"/>
  <c r="AK26" i="1"/>
  <c r="AK60" i="1"/>
  <c r="W60" i="1"/>
  <c r="S60" i="1"/>
  <c r="Q60" i="1"/>
  <c r="M60" i="1"/>
  <c r="J60" i="1"/>
  <c r="F60" i="1"/>
  <c r="U60" i="1"/>
  <c r="AK59" i="1"/>
  <c r="AA59" i="1"/>
  <c r="W59" i="1"/>
  <c r="S59" i="1"/>
  <c r="Q59" i="1"/>
  <c r="M59" i="1"/>
  <c r="J59" i="1"/>
  <c r="F59" i="1"/>
  <c r="U59" i="1"/>
  <c r="K3" i="2"/>
  <c r="H3" i="2"/>
  <c r="J9" i="1"/>
  <c r="J10" i="1"/>
  <c r="AF11" i="1"/>
  <c r="AF24" i="1" s="1"/>
  <c r="AA58" i="1"/>
  <c r="AA57" i="1"/>
  <c r="AA56" i="1"/>
  <c r="AA55" i="1"/>
  <c r="AA48" i="1"/>
  <c r="AA47" i="1"/>
  <c r="AA13" i="1"/>
  <c r="AA12" i="1"/>
  <c r="AA11" i="1"/>
  <c r="AA10" i="1"/>
  <c r="AA9" i="1"/>
  <c r="AA14" i="1"/>
  <c r="AK58" i="1"/>
  <c r="AK57" i="1"/>
  <c r="AK56" i="1"/>
  <c r="AK55" i="1"/>
  <c r="AK48" i="1"/>
  <c r="AK47" i="1"/>
  <c r="AK15" i="1"/>
  <c r="AK14" i="1"/>
  <c r="AK13" i="1"/>
  <c r="AK12" i="1"/>
  <c r="AK11" i="1"/>
  <c r="AK10" i="1"/>
  <c r="AK9" i="1"/>
  <c r="T24" i="1"/>
  <c r="AA2" i="1"/>
  <c r="W2" i="1"/>
  <c r="W58" i="1"/>
  <c r="W57" i="1"/>
  <c r="W56" i="1"/>
  <c r="W55" i="1"/>
  <c r="W48" i="1"/>
  <c r="W47" i="1"/>
  <c r="W15" i="1"/>
  <c r="W14" i="1"/>
  <c r="W13" i="1"/>
  <c r="W12" i="1"/>
  <c r="W11" i="1"/>
  <c r="W10" i="1"/>
  <c r="W9" i="1"/>
  <c r="U9" i="1"/>
  <c r="U2" i="1"/>
  <c r="U58" i="1"/>
  <c r="U57" i="1"/>
  <c r="U56" i="1"/>
  <c r="U55" i="1"/>
  <c r="U48" i="1"/>
  <c r="U47" i="1"/>
  <c r="U15" i="1"/>
  <c r="U14" i="1"/>
  <c r="U13" i="1"/>
  <c r="U12" i="1"/>
  <c r="U11" i="1"/>
  <c r="U10" i="1"/>
  <c r="S33" i="1" l="1"/>
  <c r="S34" i="1"/>
  <c r="S75" i="1"/>
  <c r="F45" i="1"/>
  <c r="S43" i="1"/>
  <c r="AK23" i="1"/>
  <c r="AK22" i="1"/>
  <c r="AM22" i="1"/>
  <c r="AM23" i="1"/>
  <c r="AO74" i="1"/>
  <c r="AO73" i="1"/>
  <c r="AO75" i="1"/>
  <c r="J81" i="1"/>
  <c r="AA51" i="1"/>
  <c r="AA53" i="1"/>
  <c r="AA52" i="1"/>
  <c r="AO81" i="1"/>
  <c r="AO82" i="1"/>
  <c r="J45" i="1"/>
  <c r="U44" i="1"/>
  <c r="AO35" i="1"/>
  <c r="AK45" i="1"/>
  <c r="AO68" i="1"/>
  <c r="AO67" i="1"/>
  <c r="AO66" i="1"/>
  <c r="AK68" i="1"/>
  <c r="AM68" i="1"/>
  <c r="AA68" i="1"/>
  <c r="AA67" i="1"/>
  <c r="AA66" i="1"/>
  <c r="M45" i="1"/>
  <c r="AK44" i="1"/>
  <c r="S44" i="1"/>
  <c r="AM44" i="1"/>
  <c r="AK43" i="1"/>
  <c r="AO52" i="1"/>
  <c r="AO53" i="1"/>
  <c r="AO44" i="1"/>
  <c r="AO45" i="1"/>
  <c r="AO43" i="1"/>
  <c r="AK35" i="1"/>
  <c r="AM45" i="1"/>
  <c r="U45" i="1"/>
  <c r="U23" i="1"/>
  <c r="U22" i="1"/>
  <c r="AM33" i="1"/>
  <c r="J44" i="1"/>
  <c r="U35" i="1"/>
  <c r="AM43" i="1"/>
  <c r="S81" i="1"/>
  <c r="L7" i="3" s="1"/>
  <c r="S82" i="1"/>
  <c r="AM24" i="1"/>
  <c r="M44" i="1"/>
  <c r="AK88" i="1"/>
  <c r="M43" i="1"/>
  <c r="AO24" i="1"/>
  <c r="AM34" i="1"/>
  <c r="F43" i="1"/>
  <c r="AO22" i="1"/>
  <c r="F44" i="1"/>
  <c r="AO33" i="1"/>
  <c r="Q45" i="1"/>
  <c r="AA33" i="1"/>
  <c r="AM35" i="1"/>
  <c r="AO23" i="1"/>
  <c r="Q43" i="1"/>
  <c r="U33" i="1"/>
  <c r="AO34" i="1"/>
  <c r="S45" i="1"/>
  <c r="H7" i="3" s="1"/>
  <c r="AA82" i="1"/>
  <c r="AA45" i="1"/>
  <c r="AA34" i="1"/>
  <c r="AA43" i="1"/>
  <c r="S73" i="1"/>
  <c r="K7" i="3" s="1"/>
  <c r="S74" i="1"/>
  <c r="AA83" i="1"/>
  <c r="AA81" i="1"/>
  <c r="U34" i="1"/>
  <c r="AB44" i="1"/>
  <c r="S35" i="1"/>
  <c r="M34" i="1"/>
  <c r="F35" i="1"/>
  <c r="J33" i="1"/>
  <c r="Q35" i="1"/>
  <c r="AA35" i="1"/>
  <c r="J34" i="1"/>
  <c r="M33" i="1"/>
  <c r="M35" i="1"/>
  <c r="AK75" i="1"/>
  <c r="AK82" i="1"/>
  <c r="AK81" i="1"/>
  <c r="AK83" i="1"/>
  <c r="AA75" i="1"/>
  <c r="AA73" i="1"/>
  <c r="AA74" i="1"/>
  <c r="AK73" i="1"/>
  <c r="AK74" i="1"/>
  <c r="U24" i="1"/>
  <c r="AK24" i="1"/>
  <c r="AA24" i="1"/>
  <c r="E7" i="2" s="1"/>
  <c r="AA23" i="1"/>
  <c r="AA22" i="1"/>
  <c r="AB47" i="1"/>
  <c r="AB15" i="1"/>
  <c r="H6" i="3" l="1"/>
  <c r="G7" i="3"/>
  <c r="G6" i="3"/>
  <c r="E5" i="2"/>
  <c r="E3" i="2"/>
  <c r="AB14" i="1"/>
  <c r="AB13" i="1" l="1"/>
  <c r="AB12" i="1"/>
  <c r="AB11" i="1"/>
  <c r="AB24" i="1" l="1"/>
  <c r="AB23" i="1"/>
  <c r="AB22" i="1"/>
  <c r="D24" i="1"/>
  <c r="R24" i="1"/>
  <c r="P24" i="1"/>
  <c r="O24" i="1"/>
  <c r="N24" i="1"/>
  <c r="L24" i="1"/>
  <c r="K24" i="1"/>
  <c r="I24" i="1"/>
  <c r="H24" i="1"/>
  <c r="E24" i="1"/>
  <c r="N23" i="1"/>
  <c r="H23" i="1"/>
  <c r="N22" i="1"/>
  <c r="H22" i="1"/>
  <c r="F58" i="1"/>
  <c r="F57" i="1"/>
  <c r="F56" i="1"/>
  <c r="F55" i="1"/>
  <c r="F48" i="1"/>
  <c r="F47" i="1"/>
  <c r="F15" i="1"/>
  <c r="F14" i="1"/>
  <c r="F13" i="1"/>
  <c r="F12" i="1"/>
  <c r="F11" i="1"/>
  <c r="F10" i="1"/>
  <c r="F9" i="1"/>
  <c r="F2" i="1"/>
  <c r="M58" i="1"/>
  <c r="M57" i="1"/>
  <c r="M56" i="1"/>
  <c r="M55" i="1"/>
  <c r="M48" i="1"/>
  <c r="M47" i="1"/>
  <c r="M15" i="1"/>
  <c r="M14" i="1"/>
  <c r="M13" i="1"/>
  <c r="M12" i="1"/>
  <c r="M11" i="1"/>
  <c r="M10" i="1"/>
  <c r="M9" i="1"/>
  <c r="M2" i="1"/>
  <c r="J58" i="1"/>
  <c r="J57" i="1"/>
  <c r="J56" i="1"/>
  <c r="J48" i="1"/>
  <c r="J47" i="1"/>
  <c r="J2" i="1"/>
  <c r="S58" i="1"/>
  <c r="S57" i="1"/>
  <c r="S56" i="1"/>
  <c r="S55" i="1"/>
  <c r="S48" i="1"/>
  <c r="S47" i="1"/>
  <c r="S15" i="1"/>
  <c r="S14" i="1"/>
  <c r="S13" i="1"/>
  <c r="S12" i="1"/>
  <c r="S11" i="1"/>
  <c r="S10" i="1"/>
  <c r="S9" i="1"/>
  <c r="S2" i="1"/>
  <c r="Q2" i="1"/>
  <c r="Q58" i="1"/>
  <c r="Q57" i="1"/>
  <c r="Q56" i="1"/>
  <c r="Q55" i="1"/>
  <c r="Q48" i="1"/>
  <c r="Q47" i="1"/>
  <c r="Q15" i="1"/>
  <c r="Q14" i="1"/>
  <c r="Q13" i="1"/>
  <c r="Q12" i="1"/>
  <c r="Q11" i="1"/>
  <c r="Q10" i="1"/>
  <c r="Q9" i="1"/>
  <c r="Q23" i="1" l="1"/>
  <c r="Q22" i="1"/>
  <c r="F22" i="1"/>
  <c r="F23" i="1"/>
  <c r="M22" i="1"/>
  <c r="M23" i="1"/>
  <c r="S22" i="1"/>
  <c r="S23" i="1"/>
  <c r="F52" i="1"/>
  <c r="F51" i="1"/>
  <c r="F53" i="1"/>
  <c r="S52" i="1"/>
  <c r="S53" i="1"/>
  <c r="S51" i="1"/>
  <c r="M53" i="1"/>
  <c r="M52" i="1"/>
  <c r="M51" i="1"/>
  <c r="Q53" i="1"/>
  <c r="Q52" i="1"/>
  <c r="Q51" i="1"/>
  <c r="M66" i="1"/>
  <c r="M67" i="1"/>
  <c r="S66" i="1"/>
  <c r="S67" i="1"/>
  <c r="F66" i="1"/>
  <c r="F67" i="1"/>
  <c r="M68" i="1"/>
  <c r="S68" i="1"/>
  <c r="F68" i="1"/>
  <c r="Q66" i="1"/>
  <c r="Q67" i="1"/>
  <c r="Q68" i="1"/>
  <c r="J68" i="1"/>
  <c r="F24" i="1"/>
  <c r="Q24" i="1"/>
  <c r="J22" i="1"/>
  <c r="M24" i="1"/>
  <c r="S24" i="1"/>
  <c r="J24" i="1"/>
  <c r="J23" i="1"/>
  <c r="I7" i="3" l="1"/>
  <c r="F7" i="3"/>
  <c r="P7" i="2" s="1"/>
  <c r="F6" i="3"/>
  <c r="O7" i="2" s="1"/>
  <c r="I6" i="3"/>
  <c r="J7" i="3"/>
  <c r="C5" i="2"/>
  <c r="C7" i="2"/>
  <c r="C3" i="2"/>
  <c r="D3" i="2" s="1"/>
  <c r="J6" i="3"/>
  <c r="O3" i="2" l="1"/>
  <c r="O5" i="2"/>
  <c r="P5" i="2"/>
  <c r="P3" i="2"/>
  <c r="D7" i="2"/>
  <c r="V7" i="2"/>
  <c r="U7" i="2"/>
  <c r="Q10" i="2" s="1"/>
  <c r="T7" i="2"/>
  <c r="S7" i="2"/>
  <c r="Z7" i="2" s="1"/>
  <c r="AA7" i="2" s="1"/>
  <c r="D5" i="2"/>
  <c r="V5" i="2"/>
  <c r="U5" i="2"/>
  <c r="T5" i="2"/>
  <c r="S5" i="2"/>
  <c r="T3" i="2"/>
  <c r="U3" i="2"/>
  <c r="V3" i="2"/>
  <c r="S3" i="2"/>
  <c r="Z3" i="2" l="1"/>
  <c r="AA3" i="2" s="1"/>
  <c r="Z5" i="2"/>
  <c r="AA5" i="2" s="1"/>
</calcChain>
</file>

<file path=xl/sharedStrings.xml><?xml version="1.0" encoding="utf-8"?>
<sst xmlns="http://schemas.openxmlformats.org/spreadsheetml/2006/main" count="250" uniqueCount="117">
  <si>
    <t>sup</t>
  </si>
  <si>
    <t>perimetro</t>
  </si>
  <si>
    <t>prof1</t>
  </si>
  <si>
    <t>prof2</t>
  </si>
  <si>
    <t>ancho1</t>
  </si>
  <si>
    <t>ancho2</t>
  </si>
  <si>
    <t>h</t>
  </si>
  <si>
    <t>A</t>
  </si>
  <si>
    <t>B</t>
  </si>
  <si>
    <t>ancho_caja</t>
  </si>
  <si>
    <t>E</t>
  </si>
  <si>
    <t>F</t>
  </si>
  <si>
    <t>€/m2</t>
  </si>
  <si>
    <t>DERRIBO</t>
  </si>
  <si>
    <t>ALBAÑILERIA</t>
  </si>
  <si>
    <t>TIPOLOGIA</t>
  </si>
  <si>
    <t>CODPROSP</t>
  </si>
  <si>
    <t>relacion prof1/prof2</t>
  </si>
  <si>
    <t>relación ancho1/ancho2</t>
  </si>
  <si>
    <t>max</t>
  </si>
  <si>
    <t>min</t>
  </si>
  <si>
    <t>med</t>
  </si>
  <si>
    <t>rel area/perimetro</t>
  </si>
  <si>
    <t>INSTALACIONES</t>
  </si>
  <si>
    <t>PELDAÑOS</t>
  </si>
  <si>
    <t>PAVIMENTO PORCELANICO</t>
  </si>
  <si>
    <t>CHAPADO PORCELANICO</t>
  </si>
  <si>
    <t>ALTURA</t>
  </si>
  <si>
    <t>TOTAL PRESUPUESTO</t>
  </si>
  <si>
    <t>PUERTA ACCESO</t>
  </si>
  <si>
    <t>BUZONES</t>
  </si>
  <si>
    <t>PAVIMENTO MARMOL</t>
  </si>
  <si>
    <t>CHAPADO MARMOL</t>
  </si>
  <si>
    <t>relación con superficie €/m2</t>
  </si>
  <si>
    <t>parte de perimetro considerada "chapable"</t>
  </si>
  <si>
    <t>PAVIMENTO PORC</t>
  </si>
  <si>
    <t>CHAPADO 1.80 PORC.</t>
  </si>
  <si>
    <t>CHAPADO 1.80 MARMOL</t>
  </si>
  <si>
    <t>CHAPADO PORC. COMPLETO</t>
  </si>
  <si>
    <t>CHAPADO MARMOL COMPLETO</t>
  </si>
  <si>
    <t>VARIOS</t>
  </si>
  <si>
    <t>TOTAL</t>
  </si>
  <si>
    <t>C</t>
  </si>
  <si>
    <t>D</t>
  </si>
  <si>
    <t>G</t>
  </si>
  <si>
    <t>porcentaje de perimetro para precio 55/85 €/m2</t>
  </si>
  <si>
    <t>MODIF INST</t>
  </si>
  <si>
    <t>H</t>
  </si>
  <si>
    <t>CORTE Y PASA</t>
  </si>
  <si>
    <t>PRESUPUESTO SIN INSTALACIONES</t>
  </si>
  <si>
    <t>€/M2</t>
  </si>
  <si>
    <t>PRESUPUESTO SIN INSTALACIONES NI REVESTIMIENTOS</t>
  </si>
  <si>
    <t>MEDIA TOTAL</t>
  </si>
  <si>
    <t>FACTOR MAXIMA</t>
  </si>
  <si>
    <t>FACTOR AMPLIFICADOR MEDIA</t>
  </si>
  <si>
    <t>barandillas</t>
  </si>
  <si>
    <t>pasamanos (m)</t>
  </si>
  <si>
    <t>interruptores (ud)</t>
  </si>
  <si>
    <t>0,8*Prof1</t>
  </si>
  <si>
    <t>0,5*Prof2</t>
  </si>
  <si>
    <t>2*AnchoCaja</t>
  </si>
  <si>
    <t>0,5*Prof</t>
  </si>
  <si>
    <t>extintores (ud)</t>
  </si>
  <si>
    <t>emergencias (ud)</t>
  </si>
  <si>
    <t>barandillas (m)</t>
  </si>
  <si>
    <t>contadores</t>
  </si>
  <si>
    <t>desp. Vertical</t>
  </si>
  <si>
    <t>desp. Horizontal (€)</t>
  </si>
  <si>
    <t>nueva cent. (€)</t>
  </si>
  <si>
    <t>modificacion puntual (€)</t>
  </si>
  <si>
    <t>agua</t>
  </si>
  <si>
    <t>puertas rf</t>
  </si>
  <si>
    <t>cambio puertas armario existentes fuera de norma</t>
  </si>
  <si>
    <t>cambio puertas cuarto</t>
  </si>
  <si>
    <t>cambio puerta cuarto agua</t>
  </si>
  <si>
    <t>cambio puerta cuarto limpieza</t>
  </si>
  <si>
    <t>puertas</t>
  </si>
  <si>
    <t>tubo+barrote (€/m)</t>
  </si>
  <si>
    <t>tubo+vidrio (€/,m)</t>
  </si>
  <si>
    <t>inox+vidrio (€/m)</t>
  </si>
  <si>
    <t>puertas ext</t>
  </si>
  <si>
    <t>hierro</t>
  </si>
  <si>
    <t>inox</t>
  </si>
  <si>
    <t>2900 + [(Ancho1-2,20)*600 €]</t>
  </si>
  <si>
    <t>2100 + [(Ancho1-2,20)*600 €]</t>
  </si>
  <si>
    <t>iluminacion</t>
  </si>
  <si>
    <t>pack luces LED</t>
  </si>
  <si>
    <t>pack luces LED+detectores</t>
  </si>
  <si>
    <t>pack luces LED+detectores+crep</t>
  </si>
  <si>
    <t>si (A1&gt;2 AND p1&lt;6 ) -&gt;  peldaños a embarque</t>
  </si>
  <si>
    <t>ELSE (peld+salto+16)</t>
  </si>
  <si>
    <t>peldaños+16</t>
  </si>
  <si>
    <t>DERRIBO (€/m2)</t>
  </si>
  <si>
    <t>ALBAÑILERIA(€/m2)</t>
  </si>
  <si>
    <t>PAVIMENTO PORC.(€/m2)</t>
  </si>
  <si>
    <t>PAVIMENTO MARMOL(€/m2)</t>
  </si>
  <si>
    <t>CHAPADO PORC. (€/m2)</t>
  </si>
  <si>
    <t>CHAPADO MARMOL(€/m2)</t>
  </si>
  <si>
    <t>PINTURAS</t>
  </si>
  <si>
    <t>SI (SUP&lt;25) 500 ELSE 750</t>
  </si>
  <si>
    <t>peld+INT(salto/.17)+9</t>
  </si>
  <si>
    <t>PELDAÑOS A 100 €/UD</t>
  </si>
  <si>
    <t>85€/UD</t>
  </si>
  <si>
    <t>65€/M</t>
  </si>
  <si>
    <t>buzones</t>
  </si>
  <si>
    <t>cambio posicion (superficie)(€)</t>
  </si>
  <si>
    <t>nuevos (€/ud)</t>
  </si>
  <si>
    <t>cambio posicion (empotrado)(€)</t>
  </si>
  <si>
    <t>falso techo</t>
  </si>
  <si>
    <t>reparacion puntual (€)</t>
  </si>
  <si>
    <t>cambio total (€/m2)</t>
  </si>
  <si>
    <t>EMBARQUES</t>
  </si>
  <si>
    <t>v</t>
  </si>
  <si>
    <t>SOLVE</t>
  </si>
  <si>
    <t>FALTA INCLUIR FURE</t>
  </si>
  <si>
    <t>PUERTA + BARANDILLA INOX</t>
  </si>
  <si>
    <t>REVISAR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</si>
</sst>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2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1" fontId="0" fillId="0" borderId="0" xfId="0" applyNumberFormat="1"/>
    <xf numFmtId="1" fontId="0" fillId="0" borderId="0" xfId="1" applyNumberFormat="1" applyFont="1"/>
    <xf numFmtId="3" fontId="2" fillId="0" borderId="0" xfId="0" applyNumberFormat="1" applyFont="1" applyAlignment="1">
      <alignment horizontal="center" wrapText="1"/>
    </xf>
    <xf numFmtId="3" fontId="0" fillId="0" borderId="0" xfId="0" applyNumberFormat="1"/>
    <xf numFmtId="0" fontId="0" fillId="0" borderId="0" xfId="0" applyAlignment="1">
      <alignment textRotation="90"/>
    </xf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right" vertical="center" textRotation="90"/>
    </xf>
    <xf numFmtId="0" fontId="3" fillId="0" borderId="0" xfId="0" applyFont="1" applyAlignment="1">
      <alignment vertical="center" textRotation="90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3" fontId="0" fillId="2" borderId="0" xfId="0" applyNumberFormat="1" applyFill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right" vertical="center"/>
    </xf>
    <xf numFmtId="1" fontId="5" fillId="0" borderId="0" xfId="0" applyNumberFormat="1" applyFont="1"/>
    <xf numFmtId="2" fontId="5" fillId="0" borderId="0" xfId="0" applyNumberFormat="1" applyFont="1"/>
    <xf numFmtId="0" fontId="6" fillId="0" borderId="0" xfId="0" applyFont="1"/>
    <xf numFmtId="3" fontId="6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4" fontId="6" fillId="0" borderId="0" xfId="0" applyNumberFormat="1" applyFont="1"/>
    <xf numFmtId="3" fontId="5" fillId="0" borderId="0" xfId="0" applyNumberFormat="1" applyFont="1"/>
    <xf numFmtId="4" fontId="5" fillId="0" borderId="0" xfId="0" applyNumberFormat="1" applyFont="1"/>
    <xf numFmtId="4" fontId="5" fillId="2" borderId="0" xfId="0" applyNumberFormat="1" applyFont="1" applyFill="1" applyAlignment="1">
      <alignment horizontal="center"/>
    </xf>
    <xf numFmtId="0" fontId="8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B</c:v>
          </c:tx>
          <c:val>
            <c:numRef>
              <c:f>Hoja1!$AO$9:$AO$15</c:f>
              <c:numCache>
                <c:formatCode>#,##0.00</c:formatCode>
                <c:ptCount val="7"/>
                <c:pt idx="0">
                  <c:v>232.24026969046886</c:v>
                </c:pt>
                <c:pt idx="1">
                  <c:v>406.07356715141145</c:v>
                </c:pt>
                <c:pt idx="2">
                  <c:v>374.59718889269794</c:v>
                </c:pt>
                <c:pt idx="3">
                  <c:v>264.99208860759495</c:v>
                </c:pt>
                <c:pt idx="4">
                  <c:v>370.77681874229347</c:v>
                </c:pt>
                <c:pt idx="5">
                  <c:v>564.46961894953654</c:v>
                </c:pt>
                <c:pt idx="6">
                  <c:v>465.29619805481872</c:v>
                </c:pt>
              </c:numCache>
            </c:numRef>
          </c:val>
          <c:smooth val="0"/>
        </c:ser>
        <c:ser>
          <c:idx val="1"/>
          <c:order val="1"/>
          <c:tx>
            <c:v>C</c:v>
          </c:tx>
          <c:val>
            <c:numRef>
              <c:f>Hoja1!$AO$26:$AO$28</c:f>
              <c:numCache>
                <c:formatCode>#,##0.00</c:formatCode>
                <c:ptCount val="3"/>
                <c:pt idx="0">
                  <c:v>784.41754916792729</c:v>
                </c:pt>
                <c:pt idx="1">
                  <c:v>425.62083585705631</c:v>
                </c:pt>
                <c:pt idx="2">
                  <c:v>356.82451253481895</c:v>
                </c:pt>
              </c:numCache>
            </c:numRef>
          </c:val>
          <c:smooth val="0"/>
        </c:ser>
        <c:ser>
          <c:idx val="2"/>
          <c:order val="2"/>
          <c:tx>
            <c:v>D</c:v>
          </c:tx>
          <c:val>
            <c:numRef>
              <c:f>Hoja1!$AO$37:$AO$38</c:f>
              <c:numCache>
                <c:formatCode>#,##0.00</c:formatCode>
                <c:ptCount val="2"/>
                <c:pt idx="0">
                  <c:v>409.62800875273518</c:v>
                </c:pt>
                <c:pt idx="1">
                  <c:v>651.79650238473766</c:v>
                </c:pt>
              </c:numCache>
            </c:numRef>
          </c:val>
          <c:smooth val="0"/>
        </c:ser>
        <c:ser>
          <c:idx val="3"/>
          <c:order val="3"/>
          <c:tx>
            <c:v>E</c:v>
          </c:tx>
          <c:val>
            <c:numRef>
              <c:f>Hoja1!$AO$47:$AO$48</c:f>
              <c:numCache>
                <c:formatCode>#,##0.00</c:formatCode>
                <c:ptCount val="2"/>
                <c:pt idx="0">
                  <c:v>384.00635930047696</c:v>
                </c:pt>
                <c:pt idx="1">
                  <c:v>527.78402699662536</c:v>
                </c:pt>
              </c:numCache>
            </c:numRef>
          </c:val>
          <c:smooth val="0"/>
        </c:ser>
        <c:ser>
          <c:idx val="4"/>
          <c:order val="4"/>
          <c:tx>
            <c:v>F</c:v>
          </c:tx>
          <c:trendline>
            <c:trendlineType val="log"/>
            <c:dispRSqr val="0"/>
            <c:dispEq val="1"/>
            <c:trendlineLbl>
              <c:layout>
                <c:manualLayout>
                  <c:x val="-3.3068211046854125E-2"/>
                  <c:y val="-7.039957354728249E-2"/>
                </c:manualLayout>
              </c:layout>
              <c:numFmt formatCode="General" sourceLinked="0"/>
            </c:trendlineLbl>
          </c:trendline>
          <c:val>
            <c:numRef>
              <c:f>Hoja1!$AO$55:$AO$62</c:f>
              <c:numCache>
                <c:formatCode>#,##0.00</c:formatCode>
                <c:ptCount val="8"/>
                <c:pt idx="0">
                  <c:v>376.19705340699818</c:v>
                </c:pt>
                <c:pt idx="1">
                  <c:v>497.2209138012247</c:v>
                </c:pt>
                <c:pt idx="2">
                  <c:v>567.42826780021255</c:v>
                </c:pt>
                <c:pt idx="3">
                  <c:v>507.08446866485014</c:v>
                </c:pt>
                <c:pt idx="4">
                  <c:v>512.15074723846647</c:v>
                </c:pt>
                <c:pt idx="5">
                  <c:v>423.17484088356417</c:v>
                </c:pt>
                <c:pt idx="6">
                  <c:v>385.34670737025732</c:v>
                </c:pt>
                <c:pt idx="7">
                  <c:v>760.83044982698971</c:v>
                </c:pt>
              </c:numCache>
            </c:numRef>
          </c:val>
          <c:smooth val="0"/>
        </c:ser>
        <c:ser>
          <c:idx val="5"/>
          <c:order val="5"/>
          <c:tx>
            <c:v>G</c:v>
          </c:tx>
          <c:val>
            <c:numRef>
              <c:f>Hoja1!$AO$70:$AO$71</c:f>
              <c:numCache>
                <c:formatCode>#,##0.00</c:formatCode>
                <c:ptCount val="2"/>
                <c:pt idx="0">
                  <c:v>424.32</c:v>
                </c:pt>
                <c:pt idx="1">
                  <c:v>618.2827735644637</c:v>
                </c:pt>
              </c:numCache>
            </c:numRef>
          </c:val>
          <c:smooth val="0"/>
        </c:ser>
        <c:ser>
          <c:idx val="6"/>
          <c:order val="6"/>
          <c:tx>
            <c:v>H</c:v>
          </c:tx>
          <c:val>
            <c:numRef>
              <c:f>Hoja1!$AO$77:$AO$78</c:f>
              <c:numCache>
                <c:formatCode>#,##0.00</c:formatCode>
                <c:ptCount val="2"/>
                <c:pt idx="0">
                  <c:v>648.43462246777165</c:v>
                </c:pt>
                <c:pt idx="1">
                  <c:v>1013.3102852203975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16384"/>
        <c:axId val="30681920"/>
      </c:lineChart>
      <c:catAx>
        <c:axId val="88016384"/>
        <c:scaling>
          <c:orientation val="minMax"/>
        </c:scaling>
        <c:delete val="0"/>
        <c:axPos val="b"/>
        <c:majorTickMark val="out"/>
        <c:minorTickMark val="none"/>
        <c:tickLblPos val="nextTo"/>
        <c:crossAx val="30681920"/>
        <c:crosses val="autoZero"/>
        <c:auto val="1"/>
        <c:lblAlgn val="ctr"/>
        <c:lblOffset val="100"/>
        <c:noMultiLvlLbl val="0"/>
      </c:catAx>
      <c:valAx>
        <c:axId val="3068192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88016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</xdr:colOff>
      <xdr:row>7</xdr:row>
      <xdr:rowOff>161925</xdr:rowOff>
    </xdr:from>
    <xdr:to>
      <xdr:col>16</xdr:col>
      <xdr:colOff>733424</xdr:colOff>
      <xdr:row>36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8"/>
  <sheetViews>
    <sheetView tabSelected="1" workbookViewId="0">
      <pane ySplit="1" topLeftCell="A33" activePane="bottomLeft" state="frozen"/>
      <selection pane="bottomLeft" sqref="A1:AR86"/>
    </sheetView>
  </sheetViews>
  <sheetFormatPr baseColWidth="10" defaultRowHeight="15" x14ac:dyDescent="0.25"/>
  <cols>
    <col min="1" max="1" width="3.7109375" bestFit="1" customWidth="1"/>
    <col min="2" max="2" width="3.7109375" customWidth="1"/>
    <col min="4" max="4" width="5.5703125" bestFit="1" customWidth="1"/>
    <col min="5" max="5" width="10" bestFit="1" customWidth="1"/>
    <col min="6" max="7" width="11.42578125" style="27"/>
    <col min="8" max="9" width="7.85546875" bestFit="1" customWidth="1"/>
    <col min="10" max="10" width="11.42578125" style="27"/>
    <col min="11" max="11" width="7.28515625" bestFit="1" customWidth="1"/>
    <col min="12" max="12" width="7.85546875" bestFit="1" customWidth="1"/>
    <col min="13" max="13" width="11.42578125" style="27"/>
    <col min="14" max="14" width="10.7109375" bestFit="1" customWidth="1"/>
    <col min="15" max="15" width="4.5703125" bestFit="1" customWidth="1"/>
    <col min="16" max="16" width="8.7109375" bestFit="1" customWidth="1"/>
    <col min="17" max="17" width="6.5703125" style="27" bestFit="1" customWidth="1"/>
    <col min="18" max="18" width="12.42578125" bestFit="1" customWidth="1"/>
    <col min="19" max="19" width="6.5703125" style="27" bestFit="1" customWidth="1"/>
    <col min="21" max="21" width="11.42578125" style="27"/>
    <col min="23" max="23" width="11.42578125" style="27"/>
    <col min="26" max="26" width="4" bestFit="1" customWidth="1"/>
    <col min="27" max="27" width="11.42578125" style="27"/>
    <col min="28" max="28" width="7.85546875" bestFit="1" customWidth="1"/>
    <col min="29" max="29" width="2.5703125" customWidth="1"/>
    <col min="30" max="30" width="2.7109375" customWidth="1"/>
    <col min="31" max="31" width="3.140625" customWidth="1"/>
    <col min="33" max="35" width="5" bestFit="1" customWidth="1"/>
    <col min="36" max="36" width="11.28515625" style="14" bestFit="1" customWidth="1"/>
    <col min="37" max="37" width="7.5703125" style="27" bestFit="1" customWidth="1"/>
    <col min="38" max="38" width="10.28515625" style="35" bestFit="1" customWidth="1"/>
    <col min="39" max="39" width="7.5703125" style="27" bestFit="1" customWidth="1"/>
    <col min="40" max="40" width="11.42578125" style="35"/>
    <col min="41" max="41" width="8.140625" style="36" bestFit="1" customWidth="1"/>
  </cols>
  <sheetData>
    <row r="1" spans="1:42" ht="80.25" customHeight="1" x14ac:dyDescent="0.25">
      <c r="A1" s="18" t="s">
        <v>15</v>
      </c>
      <c r="B1" s="18"/>
      <c r="C1" s="6" t="s">
        <v>16</v>
      </c>
      <c r="D1" s="7" t="s">
        <v>0</v>
      </c>
      <c r="E1" s="7" t="s">
        <v>1</v>
      </c>
      <c r="F1" s="28" t="s">
        <v>22</v>
      </c>
      <c r="G1" s="23" t="s">
        <v>34</v>
      </c>
      <c r="H1" s="7" t="s">
        <v>2</v>
      </c>
      <c r="I1" s="7" t="s">
        <v>3</v>
      </c>
      <c r="J1" s="23" t="s">
        <v>17</v>
      </c>
      <c r="K1" s="7" t="s">
        <v>4</v>
      </c>
      <c r="L1" s="7" t="s">
        <v>5</v>
      </c>
      <c r="M1" s="23" t="s">
        <v>18</v>
      </c>
      <c r="N1" s="7" t="s">
        <v>9</v>
      </c>
      <c r="O1" s="7" t="s">
        <v>6</v>
      </c>
      <c r="P1" s="7" t="s">
        <v>13</v>
      </c>
      <c r="Q1" s="28" t="s">
        <v>12</v>
      </c>
      <c r="R1" s="7" t="s">
        <v>14</v>
      </c>
      <c r="S1" s="28" t="s">
        <v>12</v>
      </c>
      <c r="T1" s="8" t="s">
        <v>25</v>
      </c>
      <c r="U1" s="23" t="s">
        <v>33</v>
      </c>
      <c r="V1" s="8" t="s">
        <v>31</v>
      </c>
      <c r="W1" s="23" t="s">
        <v>33</v>
      </c>
      <c r="X1" s="8" t="s">
        <v>26</v>
      </c>
      <c r="Y1" s="8" t="s">
        <v>32</v>
      </c>
      <c r="Z1" s="16" t="s">
        <v>27</v>
      </c>
      <c r="AA1" s="23" t="s">
        <v>45</v>
      </c>
      <c r="AB1" s="17" t="s">
        <v>24</v>
      </c>
      <c r="AF1" s="8" t="s">
        <v>23</v>
      </c>
      <c r="AG1" s="15" t="s">
        <v>29</v>
      </c>
      <c r="AH1" s="15" t="s">
        <v>30</v>
      </c>
      <c r="AI1" s="15" t="s">
        <v>46</v>
      </c>
      <c r="AJ1" s="13" t="s">
        <v>28</v>
      </c>
      <c r="AK1" s="31" t="s">
        <v>50</v>
      </c>
      <c r="AL1" s="32" t="s">
        <v>49</v>
      </c>
      <c r="AM1" s="31" t="s">
        <v>50</v>
      </c>
      <c r="AN1" s="33" t="s">
        <v>51</v>
      </c>
      <c r="AO1" s="34" t="s">
        <v>50</v>
      </c>
      <c r="AP1" t="s">
        <v>111</v>
      </c>
    </row>
    <row r="2" spans="1:42" x14ac:dyDescent="0.25">
      <c r="A2" t="s">
        <v>7</v>
      </c>
      <c r="C2" s="3">
        <v>16256</v>
      </c>
      <c r="D2" s="9">
        <v>20.8</v>
      </c>
      <c r="E2" s="9">
        <v>22.39</v>
      </c>
      <c r="F2" s="24">
        <f>E2/D2</f>
        <v>1.0764423076923078</v>
      </c>
      <c r="G2" s="24"/>
      <c r="H2" s="9">
        <v>8.5399999999999991</v>
      </c>
      <c r="I2" s="9">
        <v>5.74</v>
      </c>
      <c r="J2" s="24">
        <f>IF( H2&lt;&gt;"",H2/E2,"")</f>
        <v>0.3814202769093345</v>
      </c>
      <c r="K2" s="9">
        <v>3.88</v>
      </c>
      <c r="L2" s="9"/>
      <c r="M2" s="24" t="str">
        <f>IF(L2&lt;&gt;"",K2/L2,"")</f>
        <v/>
      </c>
      <c r="N2" s="9"/>
      <c r="O2" s="9">
        <v>3</v>
      </c>
      <c r="P2" s="1">
        <v>1954</v>
      </c>
      <c r="Q2" s="27">
        <f>ROUNDUP(P2/INT($D$2),0)</f>
        <v>98</v>
      </c>
      <c r="R2" s="1">
        <v>2342</v>
      </c>
      <c r="S2" s="27">
        <f>ROUNDUP(R2/INT($D$2),0)</f>
        <v>118</v>
      </c>
      <c r="T2">
        <v>3255</v>
      </c>
      <c r="U2" s="27">
        <f>T2/D2</f>
        <v>156.49038461538461</v>
      </c>
      <c r="W2" s="27">
        <f>V2/$D$9</f>
        <v>0</v>
      </c>
      <c r="AA2" s="29" t="e">
        <f>IF(X2&lt;&gt;"",(X2/E2)/Z2,(Y2/E2)/Z2)</f>
        <v>#DIV/0!</v>
      </c>
      <c r="AF2">
        <v>190</v>
      </c>
      <c r="AJ2" s="14">
        <v>8111</v>
      </c>
      <c r="AK2" s="30">
        <f>AJ2/$D2</f>
        <v>389.95192307692304</v>
      </c>
      <c r="AL2" s="35">
        <f>AJ2-AF2</f>
        <v>7921</v>
      </c>
      <c r="AM2" s="30">
        <f>AL2/$D2</f>
        <v>380.81730769230768</v>
      </c>
      <c r="AN2" s="35">
        <f>AJ2-AF2-T2--V2-X2-Y2-AB2</f>
        <v>4666</v>
      </c>
      <c r="AO2" s="36">
        <f>AN2/$D2</f>
        <v>224.32692307692307</v>
      </c>
    </row>
    <row r="3" spans="1:42" x14ac:dyDescent="0.25">
      <c r="A3" t="s">
        <v>7</v>
      </c>
      <c r="B3">
        <v>0</v>
      </c>
      <c r="C3" s="3">
        <v>16123</v>
      </c>
      <c r="D3" s="9">
        <v>11.01</v>
      </c>
      <c r="E3" s="9">
        <v>15.03</v>
      </c>
      <c r="F3" s="24">
        <f>E3/D3</f>
        <v>1.3651226158038148</v>
      </c>
      <c r="G3" s="24"/>
      <c r="H3" s="9">
        <v>4.08</v>
      </c>
      <c r="I3" s="9">
        <v>6.18</v>
      </c>
      <c r="J3" s="24">
        <f>IF( H3&lt;&gt;"",H3/E3,"")</f>
        <v>0.27145708582834333</v>
      </c>
      <c r="K3" s="9">
        <v>2.5099999999999998</v>
      </c>
      <c r="L3" s="9">
        <v>3.47</v>
      </c>
      <c r="M3" s="24"/>
      <c r="N3" s="9"/>
      <c r="O3" s="9">
        <v>3</v>
      </c>
      <c r="P3" s="1">
        <v>2310</v>
      </c>
      <c r="Q3" s="27">
        <f>ROUNDUP(P3/INT($D$2),0)</f>
        <v>116</v>
      </c>
      <c r="R3" s="1">
        <v>901</v>
      </c>
      <c r="S3" s="27">
        <f>ROUNDUP(R3/INT($D$2),0)</f>
        <v>46</v>
      </c>
      <c r="U3" s="27">
        <f>T3/D3</f>
        <v>0</v>
      </c>
      <c r="V3">
        <v>975</v>
      </c>
      <c r="W3" s="27">
        <f>V3/$D$9</f>
        <v>29.880478087649401</v>
      </c>
      <c r="Z3">
        <v>3</v>
      </c>
      <c r="AA3" s="29">
        <f>IF(X3&lt;&gt;"",(X3/E3)/Z3,(Y3/E3)/Z3)</f>
        <v>0</v>
      </c>
      <c r="AB3">
        <v>839</v>
      </c>
      <c r="AF3">
        <v>900</v>
      </c>
      <c r="AJ3" s="14">
        <v>6808</v>
      </c>
      <c r="AK3" s="30">
        <f>AJ3/$D3</f>
        <v>618.34695731153499</v>
      </c>
      <c r="AL3" s="35">
        <f>AJ3-AF3</f>
        <v>5908</v>
      </c>
      <c r="AM3" s="30">
        <f>AL3/$D3</f>
        <v>536.60308810172569</v>
      </c>
      <c r="AN3" s="35">
        <f>AJ3-AF3-T3--V3-X3-Y3-AB3</f>
        <v>6044</v>
      </c>
      <c r="AO3" s="36">
        <f>AN3/$D3</f>
        <v>548.95549500454138</v>
      </c>
    </row>
    <row r="4" spans="1:42" x14ac:dyDescent="0.25">
      <c r="C4" s="3"/>
      <c r="D4" s="9"/>
      <c r="E4" s="9"/>
      <c r="F4" s="24"/>
      <c r="G4" s="24"/>
      <c r="H4" s="9"/>
      <c r="I4" s="9"/>
      <c r="J4" s="24"/>
      <c r="K4" s="9"/>
      <c r="L4" s="9"/>
      <c r="M4" s="24"/>
      <c r="N4" s="9"/>
      <c r="O4" s="9"/>
      <c r="P4" s="1"/>
      <c r="R4" s="1"/>
      <c r="AK4" s="30"/>
    </row>
    <row r="5" spans="1:42" x14ac:dyDescent="0.25">
      <c r="C5" s="5" t="s">
        <v>19</v>
      </c>
      <c r="D5" s="10">
        <f t="shared" ref="D5:U5" si="0">MAX(D2:D3)</f>
        <v>20.8</v>
      </c>
      <c r="E5" s="10">
        <f t="shared" si="0"/>
        <v>22.39</v>
      </c>
      <c r="F5" s="25">
        <f t="shared" si="0"/>
        <v>1.3651226158038148</v>
      </c>
      <c r="G5" s="25">
        <f t="shared" si="0"/>
        <v>0</v>
      </c>
      <c r="H5" s="10">
        <f t="shared" si="0"/>
        <v>8.5399999999999991</v>
      </c>
      <c r="I5" s="10">
        <f t="shared" si="0"/>
        <v>6.18</v>
      </c>
      <c r="J5" s="25">
        <f t="shared" si="0"/>
        <v>0.3814202769093345</v>
      </c>
      <c r="K5" s="10">
        <f t="shared" si="0"/>
        <v>3.88</v>
      </c>
      <c r="L5" s="10">
        <f t="shared" si="0"/>
        <v>3.47</v>
      </c>
      <c r="M5" s="25">
        <f t="shared" si="0"/>
        <v>0</v>
      </c>
      <c r="N5" s="10">
        <f t="shared" si="0"/>
        <v>0</v>
      </c>
      <c r="O5" s="10">
        <f t="shared" si="0"/>
        <v>3</v>
      </c>
      <c r="P5" s="10">
        <f t="shared" si="0"/>
        <v>2310</v>
      </c>
      <c r="Q5" s="25">
        <f t="shared" si="0"/>
        <v>116</v>
      </c>
      <c r="R5" s="10">
        <f t="shared" si="0"/>
        <v>2342</v>
      </c>
      <c r="S5" s="25">
        <f t="shared" si="0"/>
        <v>118</v>
      </c>
      <c r="T5" s="10">
        <f t="shared" si="0"/>
        <v>3255</v>
      </c>
      <c r="U5" s="25">
        <f t="shared" si="0"/>
        <v>156.49038461538461</v>
      </c>
      <c r="AA5" s="25" t="e">
        <f>MAX(AA2:AA3)</f>
        <v>#DIV/0!</v>
      </c>
      <c r="AB5" s="10">
        <f>MAX(AB2:AB3)</f>
        <v>839</v>
      </c>
      <c r="AF5" s="10">
        <f>MAX(AF2:AF3)</f>
        <v>900</v>
      </c>
      <c r="AK5" s="25">
        <f>MAX(AK2:AK3)</f>
        <v>618.34695731153499</v>
      </c>
      <c r="AM5" s="25">
        <f>MAX(AM2:AM3)</f>
        <v>536.60308810172569</v>
      </c>
      <c r="AO5" s="25">
        <f>MAX(AO2:AO3)</f>
        <v>548.95549500454138</v>
      </c>
    </row>
    <row r="6" spans="1:42" x14ac:dyDescent="0.25">
      <c r="C6" s="5" t="s">
        <v>20</v>
      </c>
      <c r="D6" s="10">
        <f t="shared" ref="D6:U6" si="1">MIN(D2:D3)</f>
        <v>11.01</v>
      </c>
      <c r="E6" s="10">
        <f t="shared" si="1"/>
        <v>15.03</v>
      </c>
      <c r="F6" s="25">
        <f t="shared" si="1"/>
        <v>1.0764423076923078</v>
      </c>
      <c r="G6" s="25">
        <f t="shared" si="1"/>
        <v>0</v>
      </c>
      <c r="H6" s="10">
        <f t="shared" si="1"/>
        <v>4.08</v>
      </c>
      <c r="I6" s="10">
        <f t="shared" si="1"/>
        <v>5.74</v>
      </c>
      <c r="J6" s="25">
        <f t="shared" si="1"/>
        <v>0.27145708582834333</v>
      </c>
      <c r="K6" s="10">
        <f t="shared" si="1"/>
        <v>2.5099999999999998</v>
      </c>
      <c r="L6" s="10">
        <f t="shared" si="1"/>
        <v>3.47</v>
      </c>
      <c r="M6" s="25">
        <f t="shared" si="1"/>
        <v>0</v>
      </c>
      <c r="N6" s="10">
        <f t="shared" si="1"/>
        <v>0</v>
      </c>
      <c r="O6" s="10">
        <f t="shared" si="1"/>
        <v>3</v>
      </c>
      <c r="P6" s="10">
        <f t="shared" si="1"/>
        <v>1954</v>
      </c>
      <c r="Q6" s="25">
        <f t="shared" si="1"/>
        <v>98</v>
      </c>
      <c r="R6" s="10">
        <f t="shared" si="1"/>
        <v>901</v>
      </c>
      <c r="S6" s="25">
        <f t="shared" si="1"/>
        <v>46</v>
      </c>
      <c r="T6" s="10">
        <f t="shared" si="1"/>
        <v>3255</v>
      </c>
      <c r="U6" s="25">
        <f t="shared" si="1"/>
        <v>0</v>
      </c>
      <c r="AA6" s="25" t="e">
        <f>MIN(AA2:AA3)</f>
        <v>#DIV/0!</v>
      </c>
      <c r="AB6" s="10">
        <f>MIN(AB2:AB3)</f>
        <v>839</v>
      </c>
      <c r="AF6" s="10">
        <f>MIN(AF2:AF3)</f>
        <v>190</v>
      </c>
      <c r="AK6" s="25">
        <f>MIN(AK2:AK3)</f>
        <v>389.95192307692304</v>
      </c>
      <c r="AM6" s="25">
        <f>MIN(AM2:AM3)</f>
        <v>380.81730769230768</v>
      </c>
      <c r="AO6" s="25">
        <f>MIN(AO2:AO3)</f>
        <v>224.32692307692307</v>
      </c>
    </row>
    <row r="7" spans="1:42" x14ac:dyDescent="0.25">
      <c r="C7" s="5" t="s">
        <v>21</v>
      </c>
      <c r="D7" s="10">
        <f t="shared" ref="D7:U7" si="2">GEOMEAN(D2:D3)</f>
        <v>15.133010275553243</v>
      </c>
      <c r="E7" s="10">
        <f t="shared" si="2"/>
        <v>18.344527794413242</v>
      </c>
      <c r="F7" s="25">
        <f t="shared" si="2"/>
        <v>1.2122193443592697</v>
      </c>
      <c r="G7" s="25" t="e">
        <f t="shared" si="2"/>
        <v>#NUM!</v>
      </c>
      <c r="H7" s="10">
        <f t="shared" si="2"/>
        <v>5.9028128887844646</v>
      </c>
      <c r="I7" s="10">
        <f t="shared" si="2"/>
        <v>5.955938213245668</v>
      </c>
      <c r="J7" s="25">
        <f t="shared" si="2"/>
        <v>0.32177513397658264</v>
      </c>
      <c r="K7" s="10">
        <f t="shared" si="2"/>
        <v>3.1207050485427166</v>
      </c>
      <c r="L7" s="10">
        <f t="shared" si="2"/>
        <v>3.47</v>
      </c>
      <c r="M7" s="25" t="e">
        <f t="shared" si="2"/>
        <v>#NUM!</v>
      </c>
      <c r="N7" s="10" t="e">
        <f t="shared" si="2"/>
        <v>#NUM!</v>
      </c>
      <c r="O7" s="10">
        <f t="shared" si="2"/>
        <v>3</v>
      </c>
      <c r="P7" s="10">
        <f t="shared" si="2"/>
        <v>2124.556424291904</v>
      </c>
      <c r="Q7" s="25">
        <f t="shared" si="2"/>
        <v>106.62082348209472</v>
      </c>
      <c r="R7" s="10">
        <f t="shared" si="2"/>
        <v>1452.632782226809</v>
      </c>
      <c r="S7" s="25">
        <f t="shared" si="2"/>
        <v>73.674961825575451</v>
      </c>
      <c r="T7" s="10">
        <f t="shared" si="2"/>
        <v>3255</v>
      </c>
      <c r="U7" s="25" t="e">
        <f t="shared" si="2"/>
        <v>#NUM!</v>
      </c>
      <c r="AA7" s="25" t="e">
        <f>GEOMEAN(AA2:AA3)</f>
        <v>#DIV/0!</v>
      </c>
      <c r="AB7" s="10">
        <f>GEOMEAN(AB2:AB3)</f>
        <v>839</v>
      </c>
      <c r="AF7" s="10">
        <f>GEOMEAN(AF2:AF3)</f>
        <v>413.52146256270663</v>
      </c>
      <c r="AK7" s="25">
        <f>GEOMEAN(AK2:AK3)</f>
        <v>491.04540027618333</v>
      </c>
      <c r="AM7" s="25">
        <f>GEOMEAN(AM2:AM3)</f>
        <v>452.04838602773191</v>
      </c>
      <c r="AO7" s="25">
        <f>GEOMEAN(AO2:AO3)</f>
        <v>350.9209271339314</v>
      </c>
    </row>
    <row r="8" spans="1:42" x14ac:dyDescent="0.25">
      <c r="C8" s="3"/>
      <c r="D8" s="9"/>
      <c r="E8" s="9"/>
      <c r="F8" s="24"/>
      <c r="G8" s="24"/>
      <c r="H8" s="9"/>
      <c r="I8" s="9"/>
      <c r="J8" s="24"/>
      <c r="K8" s="9"/>
      <c r="L8" s="9"/>
      <c r="M8" s="24"/>
      <c r="N8" s="9"/>
      <c r="O8" s="9"/>
      <c r="P8" s="1"/>
      <c r="R8" s="1"/>
      <c r="AK8" s="30"/>
    </row>
    <row r="9" spans="1:42" x14ac:dyDescent="0.25">
      <c r="A9" t="s">
        <v>8</v>
      </c>
      <c r="B9">
        <v>0</v>
      </c>
      <c r="C9" s="3">
        <v>16296</v>
      </c>
      <c r="D9" s="9">
        <v>32.630000000000003</v>
      </c>
      <c r="E9" s="9">
        <v>25.19</v>
      </c>
      <c r="F9" s="24">
        <f t="shared" ref="F9:F64" si="3">E9/D9</f>
        <v>0.77198896720809074</v>
      </c>
      <c r="G9" s="24"/>
      <c r="H9" s="9"/>
      <c r="I9" s="9">
        <v>4.8499999999999996</v>
      </c>
      <c r="J9" s="24" t="str">
        <f>IF( H9&lt;&gt;"",H9/I9,"")</f>
        <v/>
      </c>
      <c r="K9" s="9">
        <v>2.0299999999999998</v>
      </c>
      <c r="L9" s="9">
        <v>5.24</v>
      </c>
      <c r="M9" s="24">
        <f t="shared" ref="M9:M64" si="4">IF(L9&lt;&gt;"",K9/L9,"")</f>
        <v>0.38740458015267171</v>
      </c>
      <c r="N9" s="9">
        <v>3.21</v>
      </c>
      <c r="O9" s="9">
        <v>3</v>
      </c>
      <c r="P9" s="1">
        <v>2618</v>
      </c>
      <c r="Q9" s="27">
        <f t="shared" ref="Q9:Q64" si="5">ROUNDUP(P9/INT(D9),0)</f>
        <v>82</v>
      </c>
      <c r="R9" s="1">
        <v>4090</v>
      </c>
      <c r="S9" s="27">
        <f t="shared" ref="S9:S64" si="6">ROUNDUP(R9/INT($D$2),0)</f>
        <v>205</v>
      </c>
      <c r="T9">
        <v>1218</v>
      </c>
      <c r="U9" s="27">
        <f>T9/$D$9</f>
        <v>37.327612626417405</v>
      </c>
      <c r="W9" s="27">
        <f>V9/$D$9</f>
        <v>0</v>
      </c>
      <c r="X9">
        <v>1740</v>
      </c>
      <c r="Z9">
        <v>1.5</v>
      </c>
      <c r="AA9" s="30">
        <f>IF(X9&lt;&gt;"",(((X9/Hoja3!$F$10)/Z9)/E9),(((Y9/Hoja3!$F$11)/Z9)/E9))</f>
        <v>0.83727308816629964</v>
      </c>
      <c r="AB9">
        <v>792</v>
      </c>
      <c r="AF9">
        <v>1220</v>
      </c>
      <c r="AJ9" s="14">
        <v>12548</v>
      </c>
      <c r="AK9" s="30">
        <f>AJ9/D9</f>
        <v>384.55409132699964</v>
      </c>
      <c r="AL9" s="35">
        <f t="shared" ref="AL9:AL18" si="7">AJ9-AF9</f>
        <v>11328</v>
      </c>
      <c r="AM9" s="30">
        <f t="shared" ref="AM9:AM20" si="8">AL9/$D9</f>
        <v>347.16518541219733</v>
      </c>
      <c r="AN9" s="35">
        <f>AJ9-AF9-T9--V9-X9-Y9-AB9</f>
        <v>7578</v>
      </c>
      <c r="AO9" s="36">
        <f t="shared" ref="AO9:AO14" si="9">AN9/$D9</f>
        <v>232.24026969046886</v>
      </c>
    </row>
    <row r="10" spans="1:42" x14ac:dyDescent="0.25">
      <c r="A10" t="s">
        <v>8</v>
      </c>
      <c r="B10">
        <v>0</v>
      </c>
      <c r="C10" s="3">
        <v>16293</v>
      </c>
      <c r="D10" s="9">
        <v>23.38</v>
      </c>
      <c r="E10" s="9">
        <v>28.21</v>
      </c>
      <c r="F10" s="24">
        <f t="shared" si="3"/>
        <v>1.2065868263473054</v>
      </c>
      <c r="G10" s="24"/>
      <c r="H10" s="9">
        <v>2.4900000000000002</v>
      </c>
      <c r="I10" s="9">
        <v>6.36</v>
      </c>
      <c r="J10" s="24">
        <f>IF( H10&lt;&gt;"",H10/I10,"")</f>
        <v>0.39150943396226418</v>
      </c>
      <c r="K10" s="9">
        <v>2.33</v>
      </c>
      <c r="L10" s="9">
        <v>3.17</v>
      </c>
      <c r="M10" s="24">
        <f t="shared" si="4"/>
        <v>0.73501577287066255</v>
      </c>
      <c r="N10" s="9">
        <v>2.16</v>
      </c>
      <c r="O10" s="9">
        <v>3</v>
      </c>
      <c r="P10" s="1">
        <v>3926</v>
      </c>
      <c r="Q10" s="27">
        <f t="shared" si="5"/>
        <v>171</v>
      </c>
      <c r="R10" s="1">
        <v>3804</v>
      </c>
      <c r="S10" s="27">
        <f t="shared" si="6"/>
        <v>191</v>
      </c>
      <c r="T10">
        <v>1155</v>
      </c>
      <c r="U10" s="27">
        <f t="shared" ref="U10:U20" si="10">T10/D10</f>
        <v>49.401197604790418</v>
      </c>
      <c r="W10" s="27">
        <f t="shared" ref="W10:W20" si="11">V10/$D$9</f>
        <v>0</v>
      </c>
      <c r="X10">
        <v>908</v>
      </c>
      <c r="Z10">
        <v>1.5</v>
      </c>
      <c r="AA10" s="30">
        <f>IF(X10&lt;&gt;"",(((X10/Hoja3!$F$10)/Z10)/E10),(((Y10/Hoja3!$F$11)/Z10)/E10))</f>
        <v>0.39014748692168044</v>
      </c>
      <c r="AB10">
        <v>1880</v>
      </c>
      <c r="AF10">
        <v>2114</v>
      </c>
      <c r="AJ10" s="14">
        <v>15551</v>
      </c>
      <c r="AK10" s="30">
        <f t="shared" ref="AK10:AK18" si="12">AJ10/D10</f>
        <v>665.14114627887091</v>
      </c>
      <c r="AL10" s="35">
        <f t="shared" si="7"/>
        <v>13437</v>
      </c>
      <c r="AM10" s="30">
        <f t="shared" si="8"/>
        <v>574.7219846022241</v>
      </c>
      <c r="AN10" s="35">
        <f t="shared" ref="AN10:AN16" si="13">AJ10-AF10-T10--V10-X10-Y10-AB10</f>
        <v>9494</v>
      </c>
      <c r="AO10" s="36">
        <f t="shared" si="9"/>
        <v>406.07356715141145</v>
      </c>
    </row>
    <row r="11" spans="1:42" x14ac:dyDescent="0.25">
      <c r="A11" t="s">
        <v>8</v>
      </c>
      <c r="B11">
        <v>0</v>
      </c>
      <c r="C11" s="3">
        <v>16289</v>
      </c>
      <c r="D11" s="9">
        <v>29.17</v>
      </c>
      <c r="E11" s="9">
        <v>31.58</v>
      </c>
      <c r="F11" s="24">
        <f t="shared" si="3"/>
        <v>1.0826191292423721</v>
      </c>
      <c r="G11" s="24"/>
      <c r="H11" s="9"/>
      <c r="I11" s="9">
        <v>7.47</v>
      </c>
      <c r="J11" s="24" t="str">
        <f t="shared" ref="J11:J20" si="14">IF( H11&lt;&gt;"",H11/I11,"")</f>
        <v/>
      </c>
      <c r="K11" s="9">
        <v>2.4900000000000002</v>
      </c>
      <c r="L11" s="9">
        <v>4.3099999999999996</v>
      </c>
      <c r="M11" s="24">
        <f t="shared" si="4"/>
        <v>0.57772621809744795</v>
      </c>
      <c r="N11" s="9"/>
      <c r="O11" s="9">
        <v>3</v>
      </c>
      <c r="P11" s="1">
        <v>2928</v>
      </c>
      <c r="Q11" s="27">
        <f t="shared" si="5"/>
        <v>101</v>
      </c>
      <c r="R11" s="1">
        <v>2807</v>
      </c>
      <c r="S11" s="27">
        <f t="shared" si="6"/>
        <v>141</v>
      </c>
      <c r="T11">
        <v>1522</v>
      </c>
      <c r="U11" s="27">
        <f t="shared" si="10"/>
        <v>52.176894069249222</v>
      </c>
      <c r="W11" s="27">
        <f t="shared" si="11"/>
        <v>0</v>
      </c>
      <c r="X11">
        <v>4342</v>
      </c>
      <c r="Z11">
        <v>3.2</v>
      </c>
      <c r="AA11" s="30">
        <f>IF(X11&lt;&gt;"",(((X11/Hoja3!$F$10)/Z11)/E11),(((Y11/Hoja3!$F$11)/Z11)/E11))</f>
        <v>0.78120502043871276</v>
      </c>
      <c r="AB11">
        <f>476+1896</f>
        <v>2372</v>
      </c>
      <c r="AF11">
        <f>6515-2987-1259</f>
        <v>2269</v>
      </c>
      <c r="AG11">
        <v>2987</v>
      </c>
      <c r="AH11">
        <v>1259</v>
      </c>
      <c r="AJ11" s="14">
        <v>21432</v>
      </c>
      <c r="AK11" s="30">
        <f t="shared" si="12"/>
        <v>734.72745971888924</v>
      </c>
      <c r="AL11" s="35">
        <f t="shared" si="7"/>
        <v>19163</v>
      </c>
      <c r="AM11" s="30">
        <f t="shared" si="8"/>
        <v>656.94206376414115</v>
      </c>
      <c r="AN11" s="35">
        <f t="shared" si="13"/>
        <v>10927</v>
      </c>
      <c r="AO11" s="36">
        <f t="shared" si="9"/>
        <v>374.59718889269794</v>
      </c>
    </row>
    <row r="12" spans="1:42" x14ac:dyDescent="0.25">
      <c r="A12" t="s">
        <v>8</v>
      </c>
      <c r="B12">
        <v>0</v>
      </c>
      <c r="C12" s="3">
        <v>16288</v>
      </c>
      <c r="D12" s="9">
        <v>25.28</v>
      </c>
      <c r="E12" s="9">
        <v>29.02</v>
      </c>
      <c r="F12" s="24">
        <f t="shared" si="3"/>
        <v>1.1479430379746836</v>
      </c>
      <c r="G12" s="24"/>
      <c r="H12" s="9"/>
      <c r="I12" s="9">
        <v>6.69</v>
      </c>
      <c r="J12" s="24" t="str">
        <f t="shared" si="14"/>
        <v/>
      </c>
      <c r="K12" s="9">
        <v>2.33</v>
      </c>
      <c r="L12" s="9">
        <v>3.59</v>
      </c>
      <c r="M12" s="24">
        <f t="shared" si="4"/>
        <v>0.64902506963788309</v>
      </c>
      <c r="N12" s="9"/>
      <c r="O12" s="9">
        <v>3</v>
      </c>
      <c r="P12" s="1">
        <v>3452</v>
      </c>
      <c r="Q12" s="27">
        <f t="shared" si="5"/>
        <v>139</v>
      </c>
      <c r="R12" s="1">
        <v>2357</v>
      </c>
      <c r="S12" s="27">
        <f t="shared" si="6"/>
        <v>118</v>
      </c>
      <c r="T12">
        <v>1383</v>
      </c>
      <c r="U12" s="27">
        <f t="shared" si="10"/>
        <v>54.707278481012658</v>
      </c>
      <c r="W12" s="27">
        <f t="shared" si="11"/>
        <v>0</v>
      </c>
      <c r="X12">
        <v>1551</v>
      </c>
      <c r="Z12">
        <v>1.5</v>
      </c>
      <c r="AA12" s="30">
        <f>IF(X12&lt;&gt;"",(((X12/Hoja3!$F$10)/Z12)/E12),(((Y12/Hoja3!$F$11)/Z12)/E12))</f>
        <v>0.64782908339076506</v>
      </c>
      <c r="AB12">
        <f>479+1183</f>
        <v>1662</v>
      </c>
      <c r="AF12">
        <v>2080</v>
      </c>
      <c r="AJ12" s="14">
        <v>13375</v>
      </c>
      <c r="AK12" s="30">
        <f t="shared" si="12"/>
        <v>529.07436708860757</v>
      </c>
      <c r="AL12" s="35">
        <f t="shared" si="7"/>
        <v>11295</v>
      </c>
      <c r="AM12" s="30">
        <f t="shared" si="8"/>
        <v>446.79588607594934</v>
      </c>
      <c r="AN12" s="35">
        <f t="shared" si="13"/>
        <v>6699</v>
      </c>
      <c r="AO12" s="36">
        <f t="shared" si="9"/>
        <v>264.99208860759495</v>
      </c>
    </row>
    <row r="13" spans="1:42" x14ac:dyDescent="0.25">
      <c r="A13" t="s">
        <v>8</v>
      </c>
      <c r="B13">
        <v>0</v>
      </c>
      <c r="C13" s="3">
        <v>16285</v>
      </c>
      <c r="D13" s="9">
        <v>24.33</v>
      </c>
      <c r="E13" s="9">
        <v>29.73</v>
      </c>
      <c r="F13" s="24">
        <f t="shared" si="3"/>
        <v>1.2219482120838472</v>
      </c>
      <c r="G13" s="24"/>
      <c r="H13" s="9"/>
      <c r="I13" s="9">
        <v>6.83</v>
      </c>
      <c r="J13" s="24" t="str">
        <f t="shared" si="14"/>
        <v/>
      </c>
      <c r="K13" s="9">
        <v>2.19</v>
      </c>
      <c r="L13" s="9">
        <v>3.91</v>
      </c>
      <c r="M13" s="24">
        <f t="shared" si="4"/>
        <v>0.56010230179028131</v>
      </c>
      <c r="N13" s="9"/>
      <c r="O13" s="9">
        <v>3</v>
      </c>
      <c r="P13" s="1">
        <v>3648</v>
      </c>
      <c r="Q13" s="27">
        <f t="shared" si="5"/>
        <v>152</v>
      </c>
      <c r="R13" s="1">
        <v>4583</v>
      </c>
      <c r="S13" s="27">
        <f t="shared" si="6"/>
        <v>230</v>
      </c>
      <c r="T13">
        <v>1392</v>
      </c>
      <c r="U13" s="27">
        <f t="shared" si="10"/>
        <v>57.213316892725032</v>
      </c>
      <c r="W13" s="27">
        <f t="shared" si="11"/>
        <v>0</v>
      </c>
      <c r="X13">
        <v>4756</v>
      </c>
      <c r="Z13">
        <v>3.2</v>
      </c>
      <c r="AA13" s="30">
        <f>IF(X13&lt;&gt;"",(((X13/Hoja3!$F$10)/Z13)/E13),(((Y13/Hoja3!$F$11)/Z13)/E13))</f>
        <v>0.90893801791884521</v>
      </c>
      <c r="AB13">
        <f>616+875</f>
        <v>1491</v>
      </c>
      <c r="AF13">
        <v>1515</v>
      </c>
      <c r="AJ13" s="14">
        <v>18175</v>
      </c>
      <c r="AK13" s="30">
        <f t="shared" si="12"/>
        <v>747.02013974517058</v>
      </c>
      <c r="AL13" s="35">
        <f t="shared" si="7"/>
        <v>16660</v>
      </c>
      <c r="AM13" s="30">
        <f t="shared" si="8"/>
        <v>684.75133579942462</v>
      </c>
      <c r="AN13" s="35">
        <f t="shared" si="13"/>
        <v>9021</v>
      </c>
      <c r="AO13" s="36">
        <f t="shared" si="9"/>
        <v>370.77681874229347</v>
      </c>
    </row>
    <row r="14" spans="1:42" x14ac:dyDescent="0.25">
      <c r="A14" t="s">
        <v>8</v>
      </c>
      <c r="B14">
        <v>0</v>
      </c>
      <c r="C14" s="3">
        <v>16269</v>
      </c>
      <c r="D14" s="9">
        <v>19.420000000000002</v>
      </c>
      <c r="E14" s="9">
        <v>25.89</v>
      </c>
      <c r="F14" s="24">
        <f t="shared" si="3"/>
        <v>1.3331616889804325</v>
      </c>
      <c r="G14" s="24"/>
      <c r="H14" s="9">
        <v>2.11</v>
      </c>
      <c r="I14" s="9">
        <v>4.9800000000000004</v>
      </c>
      <c r="J14" s="24">
        <f t="shared" si="14"/>
        <v>0.4236947791164658</v>
      </c>
      <c r="K14" s="9">
        <v>2.75</v>
      </c>
      <c r="L14" s="9">
        <v>3.68</v>
      </c>
      <c r="M14" s="24">
        <f t="shared" si="4"/>
        <v>0.74728260869565211</v>
      </c>
      <c r="N14" s="9">
        <v>1.99</v>
      </c>
      <c r="O14" s="9">
        <v>3</v>
      </c>
      <c r="P14" s="1">
        <v>2857</v>
      </c>
      <c r="Q14" s="27">
        <f t="shared" si="5"/>
        <v>151</v>
      </c>
      <c r="R14" s="1">
        <v>2645</v>
      </c>
      <c r="S14" s="27">
        <f t="shared" si="6"/>
        <v>133</v>
      </c>
      <c r="T14">
        <v>1100</v>
      </c>
      <c r="U14" s="27">
        <f t="shared" si="10"/>
        <v>56.642636457260551</v>
      </c>
      <c r="W14" s="27">
        <f t="shared" si="11"/>
        <v>0</v>
      </c>
      <c r="X14">
        <v>1238</v>
      </c>
      <c r="Z14">
        <v>1.5</v>
      </c>
      <c r="AA14" s="30">
        <f>IF(X14&lt;&gt;"",(((X14/Hoja3!$F$10)/Z14)/E14),(((Y14/Hoja3!$F$11)/Z14)/E14))</f>
        <v>0.57960836639863289</v>
      </c>
      <c r="AB14">
        <f>425+1080</f>
        <v>1505</v>
      </c>
      <c r="AF14">
        <v>2826</v>
      </c>
      <c r="AJ14" s="14">
        <v>17631</v>
      </c>
      <c r="AK14" s="30">
        <f t="shared" si="12"/>
        <v>907.87847579814616</v>
      </c>
      <c r="AL14" s="35">
        <f t="shared" si="7"/>
        <v>14805</v>
      </c>
      <c r="AM14" s="30">
        <f t="shared" si="8"/>
        <v>762.35839340885673</v>
      </c>
      <c r="AN14" s="35">
        <f t="shared" si="13"/>
        <v>10962</v>
      </c>
      <c r="AO14" s="36">
        <f t="shared" si="9"/>
        <v>564.46961894953654</v>
      </c>
    </row>
    <row r="15" spans="1:42" x14ac:dyDescent="0.25">
      <c r="A15" t="s">
        <v>8</v>
      </c>
      <c r="B15">
        <v>0</v>
      </c>
      <c r="C15" s="3">
        <v>16254</v>
      </c>
      <c r="D15" s="9">
        <v>22.62</v>
      </c>
      <c r="E15" s="9">
        <v>24.67</v>
      </c>
      <c r="F15" s="24">
        <f t="shared" si="3"/>
        <v>1.0906277630415562</v>
      </c>
      <c r="G15" s="24"/>
      <c r="H15" s="9"/>
      <c r="I15" s="9">
        <v>9.14</v>
      </c>
      <c r="J15" s="24" t="str">
        <f t="shared" si="14"/>
        <v/>
      </c>
      <c r="K15" s="9">
        <v>2.15</v>
      </c>
      <c r="L15" s="9">
        <v>3.08</v>
      </c>
      <c r="M15" s="24">
        <f t="shared" si="4"/>
        <v>0.69805194805194803</v>
      </c>
      <c r="N15" s="9"/>
      <c r="O15" s="9">
        <v>3</v>
      </c>
      <c r="P15" s="1">
        <v>4035</v>
      </c>
      <c r="Q15" s="27">
        <f t="shared" si="5"/>
        <v>184</v>
      </c>
      <c r="R15" s="1">
        <v>3592</v>
      </c>
      <c r="S15" s="27">
        <f t="shared" si="6"/>
        <v>180</v>
      </c>
      <c r="T15">
        <v>1518</v>
      </c>
      <c r="U15" s="27">
        <f t="shared" si="10"/>
        <v>67.108753315649864</v>
      </c>
      <c r="W15" s="27">
        <f t="shared" si="11"/>
        <v>0</v>
      </c>
      <c r="AA15" s="30" t="e">
        <f>IF(X15&lt;&gt;"",(((X15/Hoja3!$F$10)/Z15)/E15),(((Y15/Hoja3!$F$11)/Z15)/E15))</f>
        <v>#DIV/0!</v>
      </c>
      <c r="AB15">
        <f>240+1680</f>
        <v>1920</v>
      </c>
      <c r="AF15">
        <v>670</v>
      </c>
      <c r="AJ15" s="14">
        <v>14633</v>
      </c>
      <c r="AK15" s="30">
        <f t="shared" si="12"/>
        <v>646.90539345711761</v>
      </c>
      <c r="AL15" s="35">
        <f t="shared" si="7"/>
        <v>13963</v>
      </c>
      <c r="AM15" s="30">
        <f t="shared" si="8"/>
        <v>617.28558797524317</v>
      </c>
      <c r="AN15" s="35">
        <f t="shared" si="13"/>
        <v>10525</v>
      </c>
      <c r="AO15" s="36">
        <f t="shared" ref="AO15:AO20" si="15">AN15/$D15</f>
        <v>465.29619805481872</v>
      </c>
    </row>
    <row r="16" spans="1:42" x14ac:dyDescent="0.25">
      <c r="A16" t="s">
        <v>8</v>
      </c>
      <c r="B16">
        <v>3</v>
      </c>
      <c r="C16" s="3">
        <v>16262</v>
      </c>
      <c r="D16" s="9">
        <v>15.04</v>
      </c>
      <c r="E16" s="9">
        <v>19.670000000000002</v>
      </c>
      <c r="F16" s="24">
        <f t="shared" si="3"/>
        <v>1.3078457446808514</v>
      </c>
      <c r="G16" s="24"/>
      <c r="H16" s="9">
        <v>1.91</v>
      </c>
      <c r="I16" s="9">
        <v>4.63</v>
      </c>
      <c r="J16" s="24">
        <f t="shared" si="14"/>
        <v>0.41252699784017277</v>
      </c>
      <c r="K16" s="9">
        <v>4.08</v>
      </c>
      <c r="L16" s="9">
        <v>3.98</v>
      </c>
      <c r="M16" s="24">
        <f t="shared" si="4"/>
        <v>1.0251256281407035</v>
      </c>
      <c r="N16" s="9">
        <v>2.2000000000000002</v>
      </c>
      <c r="O16" s="9">
        <v>3</v>
      </c>
      <c r="P16" s="1">
        <v>2767</v>
      </c>
      <c r="Q16" s="27">
        <f t="shared" si="5"/>
        <v>185</v>
      </c>
      <c r="R16" s="1">
        <v>3961</v>
      </c>
      <c r="S16" s="27">
        <f t="shared" si="6"/>
        <v>199</v>
      </c>
      <c r="T16">
        <v>638</v>
      </c>
      <c r="U16" s="27">
        <f t="shared" si="10"/>
        <v>42.420212765957451</v>
      </c>
      <c r="W16" s="27">
        <f t="shared" si="11"/>
        <v>0</v>
      </c>
      <c r="X16">
        <v>1389</v>
      </c>
      <c r="Z16">
        <v>2.8</v>
      </c>
      <c r="AA16" s="30">
        <f>IF(X16&lt;&gt;"",(((X16/Hoja3!$F$10)/Z16)/E16),(((Y16/Hoja3!$F$11)/Z16)/E16))</f>
        <v>0.45853993489987388</v>
      </c>
      <c r="AB16">
        <v>0</v>
      </c>
      <c r="AF16">
        <v>3160</v>
      </c>
      <c r="AJ16" s="14">
        <v>13071</v>
      </c>
      <c r="AK16" s="30">
        <f t="shared" si="12"/>
        <v>869.08244680851067</v>
      </c>
      <c r="AL16" s="35">
        <f t="shared" si="7"/>
        <v>9911</v>
      </c>
      <c r="AM16" s="30">
        <f t="shared" si="8"/>
        <v>658.97606382978722</v>
      </c>
      <c r="AN16" s="35">
        <f t="shared" si="13"/>
        <v>7884</v>
      </c>
      <c r="AO16" s="36">
        <f t="shared" si="15"/>
        <v>524.20212765957444</v>
      </c>
      <c r="AP16">
        <v>9</v>
      </c>
    </row>
    <row r="17" spans="1:45" x14ac:dyDescent="0.25">
      <c r="A17" t="s">
        <v>8</v>
      </c>
      <c r="B17">
        <v>3</v>
      </c>
      <c r="C17" s="3">
        <v>16160</v>
      </c>
      <c r="D17" s="9">
        <v>16.829999999999998</v>
      </c>
      <c r="E17" s="9">
        <v>23.28</v>
      </c>
      <c r="F17" s="24">
        <f t="shared" si="3"/>
        <v>1.3832442067736188</v>
      </c>
      <c r="G17" s="24"/>
      <c r="H17" s="9">
        <v>4.5999999999999996</v>
      </c>
      <c r="I17" s="9">
        <v>7.59</v>
      </c>
      <c r="J17" s="24">
        <f t="shared" si="14"/>
        <v>0.60606060606060608</v>
      </c>
      <c r="K17" s="9">
        <v>2.63</v>
      </c>
      <c r="L17" s="9">
        <v>3.13</v>
      </c>
      <c r="M17" s="24">
        <f t="shared" si="4"/>
        <v>0.84025559105431313</v>
      </c>
      <c r="N17" s="9">
        <v>2.1800000000000002</v>
      </c>
      <c r="O17" s="9">
        <v>3</v>
      </c>
      <c r="P17" s="1">
        <v>1022</v>
      </c>
      <c r="Q17" s="27">
        <f t="shared" si="5"/>
        <v>64</v>
      </c>
      <c r="R17" s="1">
        <v>2300</v>
      </c>
      <c r="S17" s="27">
        <f t="shared" si="6"/>
        <v>115</v>
      </c>
      <c r="U17" s="27">
        <f t="shared" si="10"/>
        <v>0</v>
      </c>
      <c r="V17">
        <v>320</v>
      </c>
      <c r="W17" s="27">
        <f t="shared" si="11"/>
        <v>9.8069261415874962</v>
      </c>
      <c r="Y17">
        <v>216</v>
      </c>
      <c r="Z17">
        <v>3</v>
      </c>
      <c r="AA17" s="30">
        <f>IF(X17&lt;&gt;"",(((X17/Hoja3!$F$10)/Z17)/E17),(((Y17/Hoja3!$F$11)/Z17)/E17))</f>
        <v>3.6385688295936927E-2</v>
      </c>
      <c r="AB17">
        <v>0</v>
      </c>
      <c r="AF17">
        <v>1600</v>
      </c>
      <c r="AJ17" s="14">
        <v>5336</v>
      </c>
      <c r="AK17" s="30">
        <f t="shared" si="12"/>
        <v>317.05288175876416</v>
      </c>
      <c r="AL17" s="35">
        <f t="shared" si="7"/>
        <v>3736</v>
      </c>
      <c r="AM17" s="30">
        <f t="shared" si="8"/>
        <v>221.98455139631614</v>
      </c>
      <c r="AN17" s="35">
        <f>AJ17-AF17-T17--V17-X17-Y17-AB17</f>
        <v>3840</v>
      </c>
      <c r="AO17" s="36">
        <f t="shared" si="15"/>
        <v>228.16399286987524</v>
      </c>
      <c r="AQ17" t="s">
        <v>114</v>
      </c>
      <c r="AS17" t="s">
        <v>113</v>
      </c>
    </row>
    <row r="18" spans="1:45" x14ac:dyDescent="0.25">
      <c r="A18" t="s">
        <v>8</v>
      </c>
      <c r="B18">
        <v>0</v>
      </c>
      <c r="C18" s="3">
        <v>16160</v>
      </c>
      <c r="D18" s="9">
        <v>16.829999999999998</v>
      </c>
      <c r="E18" s="9">
        <v>23.28</v>
      </c>
      <c r="F18" s="24">
        <f t="shared" si="3"/>
        <v>1.3832442067736188</v>
      </c>
      <c r="G18" s="24"/>
      <c r="H18" s="9">
        <v>4.5999999999999996</v>
      </c>
      <c r="I18" s="9">
        <v>7.59</v>
      </c>
      <c r="J18" s="24">
        <f t="shared" si="14"/>
        <v>0.60606060606060608</v>
      </c>
      <c r="K18" s="9">
        <v>2.63</v>
      </c>
      <c r="L18" s="9">
        <v>3.13</v>
      </c>
      <c r="M18" s="24">
        <f t="shared" si="4"/>
        <v>0.84025559105431313</v>
      </c>
      <c r="N18" s="9">
        <v>2.1800000000000002</v>
      </c>
      <c r="O18" s="9">
        <v>3</v>
      </c>
      <c r="P18" s="1">
        <v>2848</v>
      </c>
      <c r="Q18" s="27">
        <f t="shared" si="5"/>
        <v>178</v>
      </c>
      <c r="R18" s="1">
        <f>1936+2209</f>
        <v>4145</v>
      </c>
      <c r="S18" s="27">
        <f t="shared" si="6"/>
        <v>208</v>
      </c>
      <c r="U18" s="27">
        <f t="shared" si="10"/>
        <v>0</v>
      </c>
      <c r="V18">
        <v>1762</v>
      </c>
      <c r="W18" s="27">
        <f t="shared" si="11"/>
        <v>53.999387067116146</v>
      </c>
      <c r="Y18">
        <v>675</v>
      </c>
      <c r="Z18">
        <v>3</v>
      </c>
      <c r="AA18" s="30">
        <f>IF(X18&lt;&gt;"",(((X18/Hoja3!$F$10)/Z18)/E18),(((Y18/Hoja3!$F$11)/Z18)/E18))</f>
        <v>0.1137052759248029</v>
      </c>
      <c r="AB18">
        <v>1088</v>
      </c>
      <c r="AF18">
        <v>1200</v>
      </c>
      <c r="AJ18" s="14">
        <v>13668</v>
      </c>
      <c r="AK18" s="30">
        <f t="shared" si="12"/>
        <v>812.12121212121224</v>
      </c>
      <c r="AL18" s="35">
        <f t="shared" si="7"/>
        <v>12468</v>
      </c>
      <c r="AM18" s="30">
        <f t="shared" si="8"/>
        <v>740.81996434937616</v>
      </c>
      <c r="AN18" s="35">
        <f>AJ18-AF18-T18--V18-X18-Y18-AB18</f>
        <v>12467</v>
      </c>
      <c r="AO18" s="36">
        <f t="shared" si="15"/>
        <v>740.76054664289961</v>
      </c>
      <c r="AS18" t="s">
        <v>113</v>
      </c>
    </row>
    <row r="19" spans="1:45" x14ac:dyDescent="0.25">
      <c r="A19" t="s">
        <v>8</v>
      </c>
      <c r="B19">
        <v>0</v>
      </c>
      <c r="C19" s="3">
        <v>16157</v>
      </c>
      <c r="D19" s="9">
        <v>16.57</v>
      </c>
      <c r="E19" s="9">
        <v>22.41</v>
      </c>
      <c r="F19" s="24">
        <f t="shared" si="3"/>
        <v>1.352444176222088</v>
      </c>
      <c r="G19" s="24"/>
      <c r="H19" s="9">
        <v>4.08</v>
      </c>
      <c r="I19" s="9">
        <v>6.78</v>
      </c>
      <c r="J19" s="24">
        <f t="shared" si="14"/>
        <v>0.60176991150442471</v>
      </c>
      <c r="K19" s="9">
        <v>2.2200000000000002</v>
      </c>
      <c r="L19" s="9">
        <v>4.08</v>
      </c>
      <c r="M19" s="24">
        <f t="shared" si="4"/>
        <v>0.54411764705882359</v>
      </c>
      <c r="N19" s="9">
        <v>2.15</v>
      </c>
      <c r="O19" s="9">
        <v>3</v>
      </c>
      <c r="P19" s="1">
        <v>4014</v>
      </c>
      <c r="Q19" s="27">
        <f t="shared" si="5"/>
        <v>251</v>
      </c>
      <c r="R19" s="1">
        <v>1719</v>
      </c>
      <c r="S19" s="27">
        <f t="shared" si="6"/>
        <v>86</v>
      </c>
      <c r="U19" s="27">
        <f t="shared" si="10"/>
        <v>0</v>
      </c>
      <c r="V19">
        <v>1689</v>
      </c>
      <c r="W19" s="27">
        <f t="shared" si="11"/>
        <v>51.762182041066502</v>
      </c>
      <c r="Y19">
        <v>1756</v>
      </c>
      <c r="Z19">
        <v>3</v>
      </c>
      <c r="AA19" s="30">
        <f>IF(X19&lt;&gt;"",(((X19/Hoja3!$F$10)/Z19)/E19),(((Y19/Hoja3!$F$11)/Z19)/E19))</f>
        <v>0.3072857880323035</v>
      </c>
      <c r="AB19">
        <v>1400</v>
      </c>
      <c r="AF19">
        <v>979</v>
      </c>
      <c r="AG19">
        <v>2750</v>
      </c>
      <c r="AH19">
        <v>900</v>
      </c>
      <c r="AJ19" s="14">
        <f>16298-3899</f>
        <v>12399</v>
      </c>
      <c r="AK19" s="30">
        <f>AJ19/D19</f>
        <v>748.28002414001207</v>
      </c>
      <c r="AL19" s="35">
        <f>AJ19-AF19</f>
        <v>11420</v>
      </c>
      <c r="AM19" s="30">
        <f t="shared" si="8"/>
        <v>689.19734459867232</v>
      </c>
      <c r="AN19" s="35">
        <f>AJ19-AF19-T19--V19-X19-Y19-AB19</f>
        <v>9953</v>
      </c>
      <c r="AO19" s="36">
        <f t="shared" si="15"/>
        <v>600.66385033192512</v>
      </c>
    </row>
    <row r="20" spans="1:45" x14ac:dyDescent="0.25">
      <c r="A20" t="s">
        <v>8</v>
      </c>
      <c r="B20">
        <v>0</v>
      </c>
      <c r="C20" s="3">
        <v>16136</v>
      </c>
      <c r="D20" s="9">
        <v>15.1</v>
      </c>
      <c r="E20" s="9">
        <v>22.81</v>
      </c>
      <c r="F20" s="24">
        <f t="shared" si="3"/>
        <v>1.5105960264900662</v>
      </c>
      <c r="G20" s="24"/>
      <c r="H20" s="9">
        <v>3.21</v>
      </c>
      <c r="I20" s="9">
        <v>6.8</v>
      </c>
      <c r="J20" s="24">
        <f t="shared" si="14"/>
        <v>0.47205882352941175</v>
      </c>
      <c r="K20" s="9">
        <v>2.2000000000000002</v>
      </c>
      <c r="L20" s="9">
        <v>3.7</v>
      </c>
      <c r="M20" s="24">
        <f t="shared" si="4"/>
        <v>0.59459459459459463</v>
      </c>
      <c r="N20" s="9">
        <v>2.2599999999999998</v>
      </c>
      <c r="O20" s="9">
        <v>3</v>
      </c>
      <c r="P20" s="1">
        <v>2370</v>
      </c>
      <c r="Q20" s="27">
        <f t="shared" si="5"/>
        <v>158</v>
      </c>
      <c r="R20" s="1">
        <f>3037+1741</f>
        <v>4778</v>
      </c>
      <c r="S20" s="27">
        <f t="shared" si="6"/>
        <v>239</v>
      </c>
      <c r="U20" s="27">
        <f t="shared" si="10"/>
        <v>0</v>
      </c>
      <c r="V20">
        <v>1061</v>
      </c>
      <c r="W20" s="27">
        <f t="shared" si="11"/>
        <v>32.51608948820104</v>
      </c>
      <c r="Y20">
        <v>1613</v>
      </c>
      <c r="Z20">
        <v>1.5</v>
      </c>
      <c r="AA20" s="30">
        <f>IF(X20&lt;&gt;"",(((X20/Hoja3!$F$10)/Z20)/E20),(((Y20/Hoja3!$F$11)/Z20)/E20))</f>
        <v>0.55462430478548286</v>
      </c>
      <c r="AB20">
        <v>1350</v>
      </c>
      <c r="AJ20" s="14">
        <v>16581</v>
      </c>
      <c r="AK20" s="30">
        <f>AJ20/D20</f>
        <v>1098.0794701986756</v>
      </c>
      <c r="AL20" s="35">
        <f>AJ20-AF20</f>
        <v>16581</v>
      </c>
      <c r="AM20" s="30">
        <f t="shared" si="8"/>
        <v>1098.0794701986756</v>
      </c>
      <c r="AN20" s="35">
        <f>AJ20-AF20-T20--V20-X20-Y20-AB20</f>
        <v>14679</v>
      </c>
      <c r="AO20" s="36">
        <f t="shared" si="15"/>
        <v>972.1192052980133</v>
      </c>
    </row>
    <row r="21" spans="1:45" x14ac:dyDescent="0.25">
      <c r="C21" s="3"/>
      <c r="D21" s="9"/>
      <c r="E21" s="9"/>
      <c r="F21" s="24"/>
      <c r="G21" s="24"/>
      <c r="H21" s="9"/>
      <c r="I21" s="9"/>
      <c r="J21" s="24"/>
      <c r="K21" s="9"/>
      <c r="L21" s="9"/>
      <c r="M21" s="24"/>
      <c r="N21" s="9"/>
      <c r="O21" s="9"/>
      <c r="P21" s="1"/>
      <c r="R21" s="1"/>
      <c r="AK21" s="30"/>
    </row>
    <row r="22" spans="1:45" x14ac:dyDescent="0.25">
      <c r="C22" s="5" t="s">
        <v>19</v>
      </c>
      <c r="D22" s="10">
        <f>MAX(D9:D20)</f>
        <v>32.630000000000003</v>
      </c>
      <c r="E22" s="10">
        <f>MAX(E9:E20)</f>
        <v>31.58</v>
      </c>
      <c r="F22" s="25">
        <f>MAX(F9:F20)</f>
        <v>1.5105960264900662</v>
      </c>
      <c r="G22" s="25"/>
      <c r="H22" s="10">
        <f t="shared" ref="H22:N22" si="16">MAX(H9:H15)</f>
        <v>2.4900000000000002</v>
      </c>
      <c r="I22" s="10">
        <f>MAX(I9:I20)</f>
        <v>9.14</v>
      </c>
      <c r="J22" s="25">
        <f t="shared" si="16"/>
        <v>0.4236947791164658</v>
      </c>
      <c r="K22" s="10">
        <f>MAX(K9:K20)</f>
        <v>4.08</v>
      </c>
      <c r="L22" s="10">
        <f>MAX(L9:L20)</f>
        <v>5.24</v>
      </c>
      <c r="M22" s="25">
        <f>MAX(M9:M20)</f>
        <v>1.0251256281407035</v>
      </c>
      <c r="N22" s="10">
        <f t="shared" si="16"/>
        <v>3.21</v>
      </c>
      <c r="O22" s="10">
        <f>MAX(O9:O20)</f>
        <v>3</v>
      </c>
      <c r="P22" s="10">
        <f>MAX(P9:P20)</f>
        <v>4035</v>
      </c>
      <c r="Q22" s="25">
        <f>MAX(Q9:Q20)</f>
        <v>251</v>
      </c>
      <c r="R22" s="10">
        <f>MAX(R9:R17)</f>
        <v>4583</v>
      </c>
      <c r="S22" s="25">
        <f>MAX(S9:S17)</f>
        <v>230</v>
      </c>
      <c r="T22" s="10">
        <f>MAX(T9:T16)</f>
        <v>1522</v>
      </c>
      <c r="U22" s="25">
        <f>MAX(U9:U16)</f>
        <v>67.108753315649864</v>
      </c>
      <c r="AA22" s="25" t="e">
        <f>MAX(AA9:AA15)</f>
        <v>#DIV/0!</v>
      </c>
      <c r="AB22" s="10">
        <f>MAX(AB9:AB15)</f>
        <v>2372</v>
      </c>
      <c r="AF22" s="10">
        <f>MAX(AF9:AF19)</f>
        <v>3160</v>
      </c>
      <c r="AK22" s="25">
        <f>MAX(AK9:AK18)</f>
        <v>907.87847579814616</v>
      </c>
      <c r="AM22" s="25">
        <f>MAX(AM9:AM18)</f>
        <v>762.35839340885673</v>
      </c>
      <c r="AO22" s="37">
        <f>MAX(AO9:AO15)</f>
        <v>564.46961894953654</v>
      </c>
    </row>
    <row r="23" spans="1:45" x14ac:dyDescent="0.25">
      <c r="C23" s="5" t="s">
        <v>20</v>
      </c>
      <c r="D23" s="10">
        <f>MIN(D9:D20)</f>
        <v>15.04</v>
      </c>
      <c r="E23" s="10">
        <f>MIN(E9:E20)</f>
        <v>19.670000000000002</v>
      </c>
      <c r="F23" s="25">
        <f>MIN(F9:F20)</f>
        <v>0.77198896720809074</v>
      </c>
      <c r="G23" s="25"/>
      <c r="H23" s="10">
        <f t="shared" ref="H23:N23" si="17">MIN(H9:H15)</f>
        <v>2.11</v>
      </c>
      <c r="I23" s="10">
        <f>MIN(I9:I20)</f>
        <v>4.63</v>
      </c>
      <c r="J23" s="25">
        <f t="shared" si="17"/>
        <v>0.39150943396226418</v>
      </c>
      <c r="K23" s="10">
        <f>MIN(K9:K20)</f>
        <v>2.0299999999999998</v>
      </c>
      <c r="L23" s="10">
        <f>MIN(L9:L20)</f>
        <v>3.08</v>
      </c>
      <c r="M23" s="25">
        <f>MIN(M9:M20)</f>
        <v>0.38740458015267171</v>
      </c>
      <c r="N23" s="10">
        <f t="shared" si="17"/>
        <v>1.99</v>
      </c>
      <c r="O23" s="10">
        <f>MIN(O9:O20)</f>
        <v>3</v>
      </c>
      <c r="P23" s="10">
        <f>MIN(P9:P20)</f>
        <v>1022</v>
      </c>
      <c r="Q23" s="25">
        <f>MIN(Q9:Q20)</f>
        <v>64</v>
      </c>
      <c r="R23" s="10">
        <f>MIN(R9:R17)</f>
        <v>2300</v>
      </c>
      <c r="S23" s="25">
        <f>MIN(S9:S17)</f>
        <v>115</v>
      </c>
      <c r="T23" s="10">
        <f>MIN(T9:T16)</f>
        <v>638</v>
      </c>
      <c r="U23" s="25">
        <f>MIN(U9:U16)</f>
        <v>37.327612626417405</v>
      </c>
      <c r="AA23" s="25" t="e">
        <f>MIN(AA9:AA15)</f>
        <v>#DIV/0!</v>
      </c>
      <c r="AB23" s="10">
        <f>MIN(AB9:AB15)</f>
        <v>792</v>
      </c>
      <c r="AF23" s="10">
        <f>MIN(AF9:AF19)</f>
        <v>670</v>
      </c>
      <c r="AK23" s="25">
        <f>MIN(AK9:AK18)</f>
        <v>317.05288175876416</v>
      </c>
      <c r="AM23" s="25">
        <f>MIN(AM9:AM18)</f>
        <v>221.98455139631614</v>
      </c>
      <c r="AO23" s="37">
        <f>MIN(AO9:AO15)</f>
        <v>232.24026969046886</v>
      </c>
    </row>
    <row r="24" spans="1:45" x14ac:dyDescent="0.25">
      <c r="C24" s="5" t="s">
        <v>21</v>
      </c>
      <c r="D24" s="10">
        <f>GEOMEAN(D9:D15)</f>
        <v>24.946431531149063</v>
      </c>
      <c r="E24" s="10">
        <f t="shared" ref="E24:S24" si="18">GEOMEAN(E9:E15)</f>
        <v>27.653374047778968</v>
      </c>
      <c r="F24" s="25">
        <f t="shared" si="18"/>
        <v>1.1085102096967221</v>
      </c>
      <c r="G24" s="25"/>
      <c r="H24" s="10">
        <f t="shared" si="18"/>
        <v>2.2921387392564179</v>
      </c>
      <c r="I24" s="10">
        <f t="shared" si="18"/>
        <v>6.4789700702331698</v>
      </c>
      <c r="J24" s="25">
        <f t="shared" si="18"/>
        <v>0.40728430260035076</v>
      </c>
      <c r="K24" s="10">
        <f t="shared" si="18"/>
        <v>2.3140601432718251</v>
      </c>
      <c r="L24" s="10">
        <f t="shared" si="18"/>
        <v>3.7975663090448837</v>
      </c>
      <c r="M24" s="25">
        <f t="shared" si="18"/>
        <v>0.60935345296283405</v>
      </c>
      <c r="N24" s="10">
        <f t="shared" si="18"/>
        <v>2.3984865458074518</v>
      </c>
      <c r="O24" s="10">
        <f t="shared" si="18"/>
        <v>3</v>
      </c>
      <c r="P24" s="10">
        <f t="shared" si="18"/>
        <v>3311.7146949315747</v>
      </c>
      <c r="Q24" s="25">
        <f>GEOMEAN(Q9:Q15)</f>
        <v>135.3311539520397</v>
      </c>
      <c r="R24" s="10">
        <f t="shared" si="18"/>
        <v>3323.8366144083998</v>
      </c>
      <c r="S24" s="25">
        <f t="shared" si="18"/>
        <v>166.76532780448045</v>
      </c>
      <c r="T24" s="10">
        <f>GEOMEAN(T9:T15)</f>
        <v>1317.2900140190118</v>
      </c>
      <c r="U24" s="25">
        <f>GEOMEAN(U9:U15)</f>
        <v>52.804747339281505</v>
      </c>
      <c r="AA24" s="25" t="e">
        <f>GEOMEAN(AA9:AA15)</f>
        <v>#DIV/0!</v>
      </c>
      <c r="AB24" s="10">
        <f>GEOMEAN(AB9:AB15)</f>
        <v>1586.4288046853674</v>
      </c>
      <c r="AF24" s="10">
        <f>GEOMEAN(AF9:AF15)</f>
        <v>1661.2375845790521</v>
      </c>
      <c r="AK24" s="25">
        <f>GEOMEAN(AK9:AK15)</f>
        <v>639.25418216456046</v>
      </c>
      <c r="AM24" s="25">
        <f>GEOMEAN(AM9:AM15)</f>
        <v>567.13561087314361</v>
      </c>
      <c r="AO24" s="37">
        <f>GEOMEAN(AO9:AO15)</f>
        <v>367.86536708552205</v>
      </c>
    </row>
    <row r="25" spans="1:45" x14ac:dyDescent="0.25">
      <c r="C25" s="3"/>
      <c r="D25" s="9"/>
      <c r="E25" s="9"/>
      <c r="F25" s="24"/>
      <c r="G25" s="24"/>
      <c r="H25" s="9"/>
      <c r="I25" s="9"/>
      <c r="J25" s="24"/>
      <c r="K25" s="9"/>
      <c r="L25" s="9"/>
      <c r="M25" s="24"/>
      <c r="N25" s="9"/>
      <c r="O25" s="9"/>
      <c r="P25" s="1"/>
      <c r="R25" s="1"/>
      <c r="AK25" s="30"/>
    </row>
    <row r="26" spans="1:45" x14ac:dyDescent="0.25">
      <c r="A26" t="s">
        <v>42</v>
      </c>
      <c r="B26">
        <v>0</v>
      </c>
      <c r="C26" s="3">
        <v>16223</v>
      </c>
      <c r="D26" s="9">
        <v>6.61</v>
      </c>
      <c r="E26" s="9">
        <v>13.75</v>
      </c>
      <c r="F26" s="24">
        <f t="shared" si="3"/>
        <v>2.0801815431164901</v>
      </c>
      <c r="G26" s="24"/>
      <c r="H26" s="9">
        <v>5.0199999999999996</v>
      </c>
      <c r="I26" s="9"/>
      <c r="J26" s="24" t="e">
        <f t="shared" ref="J26:J31" si="19">IF( H26&lt;&gt;"",H26/I26,"")</f>
        <v>#DIV/0!</v>
      </c>
      <c r="K26" s="9">
        <v>1.07</v>
      </c>
      <c r="L26" s="9"/>
      <c r="M26" s="24" t="str">
        <f t="shared" si="4"/>
        <v/>
      </c>
      <c r="N26" s="9">
        <v>1.8</v>
      </c>
      <c r="O26" s="9">
        <v>3</v>
      </c>
      <c r="P26" s="1">
        <v>1993</v>
      </c>
      <c r="Q26" s="27">
        <f t="shared" si="5"/>
        <v>333</v>
      </c>
      <c r="R26" s="1">
        <v>737</v>
      </c>
      <c r="S26" s="27">
        <f t="shared" si="6"/>
        <v>37</v>
      </c>
      <c r="U26" s="27">
        <f t="shared" ref="U26:U31" si="20">T26/D26</f>
        <v>0</v>
      </c>
      <c r="V26">
        <v>765</v>
      </c>
      <c r="W26" s="27">
        <f t="shared" ref="W26:W31" si="21">V26/$D$9</f>
        <v>23.444682807232606</v>
      </c>
      <c r="Y26">
        <v>0</v>
      </c>
      <c r="AA26" s="30"/>
      <c r="AB26">
        <v>320</v>
      </c>
      <c r="AF26">
        <v>460</v>
      </c>
      <c r="AJ26" s="14">
        <v>5200</v>
      </c>
      <c r="AK26" s="30">
        <f t="shared" ref="AK26:AK31" si="22">AJ26/D26</f>
        <v>786.68683812405447</v>
      </c>
      <c r="AL26" s="35">
        <f>AJ26-AF26</f>
        <v>4740</v>
      </c>
      <c r="AM26" s="30">
        <f t="shared" ref="AM26:AM31" si="23">AL26/$D26</f>
        <v>717.09531013615731</v>
      </c>
      <c r="AN26" s="35">
        <f>AJ26-AF26-T26--V26-X26-Y26-AB26</f>
        <v>5185</v>
      </c>
      <c r="AO26" s="36">
        <f t="shared" ref="AO26:AO31" si="24">AN26/$D26</f>
        <v>784.41754916792729</v>
      </c>
    </row>
    <row r="27" spans="1:45" x14ac:dyDescent="0.25">
      <c r="A27" t="s">
        <v>42</v>
      </c>
      <c r="B27">
        <v>0</v>
      </c>
      <c r="C27" s="3">
        <v>16190</v>
      </c>
      <c r="D27" s="9">
        <v>16.510000000000002</v>
      </c>
      <c r="E27" s="9">
        <v>20.38</v>
      </c>
      <c r="F27" s="24">
        <f>E27/D27</f>
        <v>1.2344033918837067</v>
      </c>
      <c r="G27" s="24"/>
      <c r="H27" s="9">
        <v>2.0499999999999998</v>
      </c>
      <c r="I27" s="9"/>
      <c r="J27" s="24" t="e">
        <f t="shared" si="19"/>
        <v>#DIV/0!</v>
      </c>
      <c r="K27" s="9">
        <v>8.83</v>
      </c>
      <c r="L27" s="9"/>
      <c r="M27" s="24" t="str">
        <f t="shared" si="4"/>
        <v/>
      </c>
      <c r="N27" s="9"/>
      <c r="O27" s="9">
        <v>3</v>
      </c>
      <c r="P27" s="1">
        <v>2597</v>
      </c>
      <c r="Q27" s="27">
        <f t="shared" si="5"/>
        <v>163</v>
      </c>
      <c r="R27" s="1">
        <v>1370</v>
      </c>
      <c r="S27" s="27">
        <f t="shared" si="6"/>
        <v>69</v>
      </c>
      <c r="T27">
        <v>1210</v>
      </c>
      <c r="U27" s="27">
        <f t="shared" si="20"/>
        <v>73.288915808600848</v>
      </c>
      <c r="W27" s="27">
        <f t="shared" si="21"/>
        <v>0</v>
      </c>
      <c r="Y27">
        <v>1900</v>
      </c>
      <c r="Z27">
        <v>1.2</v>
      </c>
      <c r="AA27" s="30">
        <f>IF(X27&lt;&gt;"",(((X27/Hoja3!$F$10)/Z27)/E27),(((Y27/Hoja3!$F$11)/Z27)/E27))</f>
        <v>0.91400642690834932</v>
      </c>
      <c r="AB27">
        <v>520</v>
      </c>
      <c r="AF27">
        <f>2739-1800</f>
        <v>939</v>
      </c>
      <c r="AG27">
        <v>1800</v>
      </c>
      <c r="AJ27" s="14">
        <v>11596</v>
      </c>
      <c r="AK27" s="30">
        <f t="shared" si="22"/>
        <v>702.36220472440937</v>
      </c>
      <c r="AL27" s="35">
        <f>AJ27-AF27</f>
        <v>10657</v>
      </c>
      <c r="AM27" s="30">
        <f t="shared" si="23"/>
        <v>645.48758328285885</v>
      </c>
      <c r="AN27" s="35">
        <f>AJ27-AF27-T27--V27-X27-Y27-AB27</f>
        <v>7027</v>
      </c>
      <c r="AO27" s="36">
        <f t="shared" si="24"/>
        <v>425.62083585705631</v>
      </c>
    </row>
    <row r="28" spans="1:45" x14ac:dyDescent="0.25">
      <c r="A28" t="s">
        <v>42</v>
      </c>
      <c r="B28">
        <v>0</v>
      </c>
      <c r="C28" s="3">
        <v>16185</v>
      </c>
      <c r="D28" s="9">
        <v>17.95</v>
      </c>
      <c r="E28" s="9">
        <v>23.82</v>
      </c>
      <c r="F28" s="24">
        <f>E28/D28</f>
        <v>1.3270194986072423</v>
      </c>
      <c r="G28" s="24"/>
      <c r="H28" s="9">
        <v>3.98</v>
      </c>
      <c r="I28" s="9"/>
      <c r="J28" s="24" t="e">
        <f t="shared" si="19"/>
        <v>#DIV/0!</v>
      </c>
      <c r="K28" s="9">
        <v>5.73</v>
      </c>
      <c r="L28" s="9"/>
      <c r="M28" s="24" t="str">
        <f t="shared" si="4"/>
        <v/>
      </c>
      <c r="N28" s="9">
        <v>2.02</v>
      </c>
      <c r="O28" s="9">
        <v>3</v>
      </c>
      <c r="P28" s="1">
        <v>2820</v>
      </c>
      <c r="Q28" s="27">
        <f t="shared" si="5"/>
        <v>166</v>
      </c>
      <c r="R28" s="1">
        <v>3029</v>
      </c>
      <c r="S28" s="27">
        <f t="shared" si="6"/>
        <v>152</v>
      </c>
      <c r="T28">
        <v>704</v>
      </c>
      <c r="U28" s="27">
        <f t="shared" si="20"/>
        <v>39.220055710306411</v>
      </c>
      <c r="W28" s="27">
        <f t="shared" si="21"/>
        <v>0</v>
      </c>
      <c r="X28">
        <v>730</v>
      </c>
      <c r="Z28">
        <v>1.8</v>
      </c>
      <c r="AA28" s="30">
        <f>IF(X28&lt;&gt;"",(((X28/Hoja3!$F$10)/Z28)/E28),(((Y28/Hoja3!$F$11)/Z28)/E28))</f>
        <v>0.30956076296126672</v>
      </c>
      <c r="AB28">
        <v>398</v>
      </c>
      <c r="AF28">
        <v>1500</v>
      </c>
      <c r="AJ28" s="14">
        <v>9737</v>
      </c>
      <c r="AK28" s="30">
        <f t="shared" si="22"/>
        <v>542.45125348189413</v>
      </c>
      <c r="AL28" s="35">
        <f>AJ28-AF28</f>
        <v>8237</v>
      </c>
      <c r="AM28" s="30">
        <f t="shared" si="23"/>
        <v>458.88579387186633</v>
      </c>
      <c r="AN28" s="35">
        <f>AJ28-AF28-T28--V28-X28-Y28-AB28</f>
        <v>6405</v>
      </c>
      <c r="AO28" s="36">
        <f t="shared" si="24"/>
        <v>356.82451253481895</v>
      </c>
    </row>
    <row r="29" spans="1:45" x14ac:dyDescent="0.25">
      <c r="A29" t="s">
        <v>42</v>
      </c>
      <c r="B29">
        <v>3</v>
      </c>
      <c r="C29" s="3">
        <v>1674</v>
      </c>
      <c r="D29" s="9">
        <v>14.92</v>
      </c>
      <c r="E29" s="9">
        <v>22.15</v>
      </c>
      <c r="F29" s="24">
        <f>E29/D29</f>
        <v>1.4845844504021446</v>
      </c>
      <c r="G29" s="24"/>
      <c r="H29" s="9">
        <v>4.67</v>
      </c>
      <c r="I29" s="9">
        <v>1.25</v>
      </c>
      <c r="J29" s="24">
        <f t="shared" si="19"/>
        <v>3.7359999999999998</v>
      </c>
      <c r="K29" s="9">
        <v>3.51</v>
      </c>
      <c r="L29" s="9">
        <v>4.8099999999999996</v>
      </c>
      <c r="M29" s="24">
        <f t="shared" si="4"/>
        <v>0.72972972972972971</v>
      </c>
      <c r="N29" s="9">
        <v>2.25</v>
      </c>
      <c r="O29" s="9">
        <v>3</v>
      </c>
      <c r="P29" s="1">
        <v>2256</v>
      </c>
      <c r="Q29" s="27">
        <f t="shared" si="5"/>
        <v>162</v>
      </c>
      <c r="R29" s="1">
        <v>2493</v>
      </c>
      <c r="S29" s="27">
        <f t="shared" si="6"/>
        <v>125</v>
      </c>
      <c r="U29" s="27">
        <f t="shared" si="20"/>
        <v>0</v>
      </c>
      <c r="W29" s="27">
        <f t="shared" si="21"/>
        <v>0</v>
      </c>
      <c r="Y29">
        <v>560</v>
      </c>
      <c r="AA29" s="30" t="e">
        <f>IF(X29&lt;&gt;"",(((X29/Hoja3!$F$10)/Z29)/E29),(((Y29/Hoja3!$F$11)/Z29)/E29))</f>
        <v>#DIV/0!</v>
      </c>
      <c r="AF29">
        <v>159</v>
      </c>
      <c r="AJ29" s="14">
        <v>5840</v>
      </c>
      <c r="AK29" s="30">
        <f t="shared" si="22"/>
        <v>391.42091152815016</v>
      </c>
      <c r="AL29" s="35">
        <f>+AJ29-159</f>
        <v>5681</v>
      </c>
      <c r="AM29" s="30">
        <f t="shared" si="23"/>
        <v>380.76407506702412</v>
      </c>
      <c r="AN29" s="35">
        <f>+AJ29-AF29-Y29</f>
        <v>5121</v>
      </c>
      <c r="AO29" s="36">
        <f t="shared" si="24"/>
        <v>343.23056300268098</v>
      </c>
      <c r="AP29">
        <v>6</v>
      </c>
    </row>
    <row r="30" spans="1:45" x14ac:dyDescent="0.25">
      <c r="A30" t="s">
        <v>42</v>
      </c>
      <c r="B30">
        <v>0</v>
      </c>
      <c r="C30" s="3">
        <v>16164</v>
      </c>
      <c r="D30" s="9">
        <v>11.62</v>
      </c>
      <c r="E30" s="9">
        <v>17.11</v>
      </c>
      <c r="F30" s="24">
        <f>E30/D30</f>
        <v>1.4724612736660929</v>
      </c>
      <c r="G30" s="24"/>
      <c r="H30" s="9">
        <v>3.39</v>
      </c>
      <c r="I30" s="9">
        <v>5.72</v>
      </c>
      <c r="J30" s="24">
        <f t="shared" si="19"/>
        <v>0.59265734265734271</v>
      </c>
      <c r="K30" s="9">
        <v>2.33</v>
      </c>
      <c r="L30" s="9">
        <v>1.21</v>
      </c>
      <c r="M30" s="24">
        <f t="shared" si="4"/>
        <v>1.9256198347107438</v>
      </c>
      <c r="N30" s="9">
        <v>2.75</v>
      </c>
      <c r="O30" s="9">
        <v>3</v>
      </c>
      <c r="P30" s="1">
        <v>1633</v>
      </c>
      <c r="Q30" s="27">
        <f t="shared" si="5"/>
        <v>149</v>
      </c>
      <c r="R30" s="1">
        <v>1868</v>
      </c>
      <c r="S30" s="27">
        <f t="shared" si="6"/>
        <v>94</v>
      </c>
      <c r="T30">
        <v>660</v>
      </c>
      <c r="U30" s="27">
        <f t="shared" si="20"/>
        <v>56.798623063683308</v>
      </c>
      <c r="W30" s="27">
        <f t="shared" si="21"/>
        <v>0</v>
      </c>
      <c r="X30">
        <v>990</v>
      </c>
      <c r="Z30">
        <v>2</v>
      </c>
      <c r="AA30" s="30">
        <f>IF(X30&lt;&gt;"",(((X30/Hoja3!$F$10)/Z30)/E30),(((Y30/Hoja3!$F$11)/Z30)/E30))</f>
        <v>0.52600818234950319</v>
      </c>
      <c r="AF30">
        <v>690</v>
      </c>
      <c r="AJ30" s="14">
        <v>7200</v>
      </c>
      <c r="AK30" s="30">
        <f t="shared" si="22"/>
        <v>619.62134251290877</v>
      </c>
      <c r="AL30" s="35">
        <f>+AJ30-159</f>
        <v>7041</v>
      </c>
      <c r="AM30" s="30">
        <f t="shared" si="23"/>
        <v>605.9380378657487</v>
      </c>
      <c r="AN30" s="35">
        <f>+AJ30-AF30-Y30</f>
        <v>6510</v>
      </c>
      <c r="AO30" s="36">
        <f t="shared" si="24"/>
        <v>560.24096385542168</v>
      </c>
    </row>
    <row r="31" spans="1:45" x14ac:dyDescent="0.25">
      <c r="A31" t="s">
        <v>42</v>
      </c>
      <c r="B31">
        <v>0</v>
      </c>
      <c r="C31" s="3">
        <v>16124</v>
      </c>
      <c r="D31" s="9">
        <v>13.97</v>
      </c>
      <c r="E31" s="9">
        <v>17.18</v>
      </c>
      <c r="F31" s="24">
        <f>E31/D31</f>
        <v>1.2297780959198281</v>
      </c>
      <c r="G31" s="24"/>
      <c r="H31" s="9">
        <v>3.51</v>
      </c>
      <c r="I31" s="9">
        <v>8.81</v>
      </c>
      <c r="J31" s="24">
        <f t="shared" si="19"/>
        <v>0.398410896708286</v>
      </c>
      <c r="K31" s="9">
        <v>2.99</v>
      </c>
      <c r="L31" s="9">
        <v>1.57</v>
      </c>
      <c r="M31" s="24">
        <f t="shared" si="4"/>
        <v>1.9044585987261147</v>
      </c>
      <c r="N31" s="9">
        <v>2.98</v>
      </c>
      <c r="O31" s="9">
        <v>3</v>
      </c>
      <c r="P31" s="1">
        <v>2912</v>
      </c>
      <c r="Q31" s="27">
        <f t="shared" si="5"/>
        <v>224</v>
      </c>
      <c r="R31" s="1">
        <v>2009</v>
      </c>
      <c r="S31" s="27">
        <f t="shared" si="6"/>
        <v>101</v>
      </c>
      <c r="U31" s="27">
        <f t="shared" si="20"/>
        <v>0</v>
      </c>
      <c r="V31">
        <v>839</v>
      </c>
      <c r="W31" s="27">
        <f t="shared" si="21"/>
        <v>25.712534477474716</v>
      </c>
      <c r="Y31">
        <v>437</v>
      </c>
      <c r="AA31" s="30" t="e">
        <f>IF(X31&lt;&gt;"",(((X31/Hoja3!$F$10)/Z31)/E31),(((Y31/Hoja3!$F$11)/Z31)/E31))</f>
        <v>#DIV/0!</v>
      </c>
      <c r="AB31">
        <v>1900</v>
      </c>
      <c r="AF31">
        <f>669+467</f>
        <v>1136</v>
      </c>
      <c r="AJ31" s="14">
        <v>10119</v>
      </c>
      <c r="AK31" s="30">
        <f t="shared" si="22"/>
        <v>724.33786685755183</v>
      </c>
      <c r="AL31" s="35">
        <f>+AJ31-159</f>
        <v>9960</v>
      </c>
      <c r="AM31" s="30">
        <f t="shared" si="23"/>
        <v>712.95633500357906</v>
      </c>
      <c r="AN31" s="35">
        <f>+AJ31-AF31-Y31</f>
        <v>8546</v>
      </c>
      <c r="AO31" s="36">
        <f t="shared" si="24"/>
        <v>611.73944166070146</v>
      </c>
    </row>
    <row r="32" spans="1:45" x14ac:dyDescent="0.25">
      <c r="C32" s="3"/>
      <c r="D32" s="9"/>
      <c r="E32" s="9"/>
      <c r="F32" s="24"/>
      <c r="G32" s="24"/>
      <c r="H32" s="9"/>
      <c r="I32" s="9"/>
      <c r="J32" s="24"/>
      <c r="K32" s="9"/>
      <c r="L32" s="9"/>
      <c r="M32" s="24"/>
      <c r="N32" s="9"/>
      <c r="O32" s="9"/>
      <c r="P32" s="1"/>
      <c r="R32" s="1"/>
      <c r="AK32" s="30"/>
    </row>
    <row r="33" spans="1:43" x14ac:dyDescent="0.25">
      <c r="C33" s="5" t="s">
        <v>19</v>
      </c>
      <c r="D33" s="10">
        <f>MAX(D26:D31)</f>
        <v>17.95</v>
      </c>
      <c r="E33" s="10">
        <f>MAX(E26:E31)</f>
        <v>23.82</v>
      </c>
      <c r="F33" s="25">
        <f>MAX(F26:F31)</f>
        <v>2.0801815431164901</v>
      </c>
      <c r="G33" s="25">
        <f t="shared" ref="G33:U33" si="25">MAX(G26:G30)</f>
        <v>0</v>
      </c>
      <c r="H33" s="10">
        <f>MAX(H26:H31)</f>
        <v>5.0199999999999996</v>
      </c>
      <c r="I33" s="10">
        <f t="shared" si="25"/>
        <v>5.72</v>
      </c>
      <c r="J33" s="25" t="e">
        <f t="shared" si="25"/>
        <v>#DIV/0!</v>
      </c>
      <c r="K33" s="10">
        <f>MAX(K26:K31)</f>
        <v>8.83</v>
      </c>
      <c r="L33" s="10">
        <f t="shared" si="25"/>
        <v>4.8099999999999996</v>
      </c>
      <c r="M33" s="25">
        <f t="shared" si="25"/>
        <v>1.9256198347107438</v>
      </c>
      <c r="N33" s="10">
        <f t="shared" ref="N33:S33" si="26">MAX(N26:N31)</f>
        <v>2.98</v>
      </c>
      <c r="O33" s="10">
        <f t="shared" si="26"/>
        <v>3</v>
      </c>
      <c r="P33" s="10">
        <f t="shared" si="26"/>
        <v>2912</v>
      </c>
      <c r="Q33" s="25">
        <f t="shared" si="26"/>
        <v>333</v>
      </c>
      <c r="R33" s="10">
        <f t="shared" si="26"/>
        <v>3029</v>
      </c>
      <c r="S33" s="25">
        <f t="shared" si="26"/>
        <v>152</v>
      </c>
      <c r="T33" s="10">
        <f t="shared" si="25"/>
        <v>1210</v>
      </c>
      <c r="U33" s="25">
        <f t="shared" si="25"/>
        <v>73.288915808600848</v>
      </c>
      <c r="AA33" s="25" t="e">
        <f>MAX(AA26:AA30)</f>
        <v>#DIV/0!</v>
      </c>
      <c r="AB33" s="10">
        <f>MAX(AB26:AB31)</f>
        <v>1900</v>
      </c>
      <c r="AF33" s="10">
        <f>MAX(AF26:AF30)</f>
        <v>1500</v>
      </c>
      <c r="AK33" s="25">
        <f>MAX(AK26:AK31)</f>
        <v>786.68683812405447</v>
      </c>
      <c r="AM33" s="25">
        <f>MAX(AM26:AM30)</f>
        <v>717.09531013615731</v>
      </c>
      <c r="AO33" s="37">
        <f>MAX(AO26:AO30)</f>
        <v>784.41754916792729</v>
      </c>
    </row>
    <row r="34" spans="1:43" x14ac:dyDescent="0.25">
      <c r="C34" s="5" t="s">
        <v>20</v>
      </c>
      <c r="D34" s="10">
        <f>MIN(D26:D31)</f>
        <v>6.61</v>
      </c>
      <c r="E34" s="10">
        <f>MIN(E26:E31)</f>
        <v>13.75</v>
      </c>
      <c r="F34" s="25">
        <f>MIN(F26:F31)</f>
        <v>1.2297780959198281</v>
      </c>
      <c r="G34" s="25">
        <f t="shared" ref="G34:U34" si="27">MIN(G26:G30)</f>
        <v>0</v>
      </c>
      <c r="H34" s="10">
        <f>MIN(H26:H31)</f>
        <v>2.0499999999999998</v>
      </c>
      <c r="I34" s="10">
        <f t="shared" si="27"/>
        <v>1.25</v>
      </c>
      <c r="J34" s="25" t="e">
        <f t="shared" si="27"/>
        <v>#DIV/0!</v>
      </c>
      <c r="K34" s="10">
        <f>MIN(K26:K31)</f>
        <v>1.07</v>
      </c>
      <c r="L34" s="10">
        <f t="shared" si="27"/>
        <v>1.21</v>
      </c>
      <c r="M34" s="25">
        <f t="shared" si="27"/>
        <v>0.72972972972972971</v>
      </c>
      <c r="N34" s="10">
        <f t="shared" ref="N34:S34" si="28">MIN(N26:N31)</f>
        <v>1.8</v>
      </c>
      <c r="O34" s="10">
        <f t="shared" si="28"/>
        <v>3</v>
      </c>
      <c r="P34" s="10">
        <f t="shared" si="28"/>
        <v>1633</v>
      </c>
      <c r="Q34" s="25">
        <f t="shared" si="28"/>
        <v>149</v>
      </c>
      <c r="R34" s="10">
        <f t="shared" si="28"/>
        <v>737</v>
      </c>
      <c r="S34" s="25">
        <f t="shared" si="28"/>
        <v>37</v>
      </c>
      <c r="T34" s="10">
        <f t="shared" si="27"/>
        <v>660</v>
      </c>
      <c r="U34" s="25">
        <f t="shared" si="27"/>
        <v>0</v>
      </c>
      <c r="AA34" s="25" t="e">
        <f>MIN(AA26:AA30)</f>
        <v>#DIV/0!</v>
      </c>
      <c r="AB34" s="10">
        <f>MIN(AB26:AB31)</f>
        <v>320</v>
      </c>
      <c r="AF34" s="10">
        <f>MIN(AF26:AF30)</f>
        <v>159</v>
      </c>
      <c r="AK34" s="25">
        <f>MIN(AK26:AK31)</f>
        <v>391.42091152815016</v>
      </c>
      <c r="AM34" s="25">
        <f>MIN(AM26:AM30)</f>
        <v>380.76407506702412</v>
      </c>
      <c r="AO34" s="37">
        <f>MIN(AO26:AO30)</f>
        <v>343.23056300268098</v>
      </c>
    </row>
    <row r="35" spans="1:43" x14ac:dyDescent="0.25">
      <c r="C35" s="5" t="s">
        <v>21</v>
      </c>
      <c r="D35" s="10">
        <f t="shared" ref="D35:U35" si="29">GEOMEAN(D26:D30)</f>
        <v>12.770196717508998</v>
      </c>
      <c r="E35" s="10">
        <f t="shared" si="29"/>
        <v>19.081586263147027</v>
      </c>
      <c r="F35" s="25">
        <f t="shared" si="29"/>
        <v>1.4942280596965738</v>
      </c>
      <c r="G35" s="25" t="e">
        <f t="shared" si="29"/>
        <v>#NUM!</v>
      </c>
      <c r="H35" s="10">
        <f t="shared" si="29"/>
        <v>3.6506604916665313</v>
      </c>
      <c r="I35" s="10">
        <f t="shared" si="29"/>
        <v>2.6739483914241875</v>
      </c>
      <c r="J35" s="25" t="e">
        <f t="shared" si="29"/>
        <v>#DIV/0!</v>
      </c>
      <c r="K35" s="10">
        <f t="shared" si="29"/>
        <v>3.3824581205510351</v>
      </c>
      <c r="L35" s="10">
        <f t="shared" si="29"/>
        <v>2.4124883419407439</v>
      </c>
      <c r="M35" s="25">
        <f t="shared" si="29"/>
        <v>1.1854037462171603</v>
      </c>
      <c r="N35" s="10">
        <f t="shared" si="29"/>
        <v>2.1778841368398112</v>
      </c>
      <c r="O35" s="10">
        <f t="shared" si="29"/>
        <v>3</v>
      </c>
      <c r="P35" s="10">
        <f t="shared" si="29"/>
        <v>2218.7620413120594</v>
      </c>
      <c r="Q35" s="25">
        <f t="shared" si="29"/>
        <v>185.13487695553309</v>
      </c>
      <c r="R35" s="10">
        <f t="shared" si="29"/>
        <v>1701.0508478588604</v>
      </c>
      <c r="S35" s="25">
        <f t="shared" si="29"/>
        <v>85.464637297888629</v>
      </c>
      <c r="T35" s="10">
        <f t="shared" si="29"/>
        <v>825.34208036143752</v>
      </c>
      <c r="U35" s="25" t="e">
        <f t="shared" si="29"/>
        <v>#NUM!</v>
      </c>
      <c r="AA35" s="25" t="e">
        <f>GEOMEAN(AA26:AA30)</f>
        <v>#DIV/0!</v>
      </c>
      <c r="AB35" s="10">
        <f>GEOMEAN(AB26:AB30)</f>
        <v>404.58719305535618</v>
      </c>
      <c r="AF35" s="10">
        <f>GEOMEAN(AF26:AF30)</f>
        <v>589.32135619159237</v>
      </c>
      <c r="AK35" s="25">
        <f>GEOMEAN(AK26:AK28)</f>
        <v>669.22873194293254</v>
      </c>
      <c r="AM35" s="25">
        <f>GEOMEAN(AM26:AM30)</f>
        <v>547.07984352765129</v>
      </c>
      <c r="AO35" s="37">
        <f>GEOMEAN(AO26:AO30)</f>
        <v>469.8910089610261</v>
      </c>
    </row>
    <row r="36" spans="1:43" x14ac:dyDescent="0.25">
      <c r="C36" s="3"/>
      <c r="D36" s="9"/>
      <c r="E36" s="9"/>
      <c r="F36" s="24"/>
      <c r="G36" s="24"/>
      <c r="H36" s="9"/>
      <c r="I36" s="9"/>
      <c r="J36" s="24"/>
      <c r="K36" s="9"/>
      <c r="L36" s="9"/>
      <c r="M36" s="24"/>
      <c r="N36" s="9"/>
      <c r="O36" s="9"/>
      <c r="P36" s="1"/>
      <c r="R36" s="1"/>
      <c r="AK36" s="30"/>
    </row>
    <row r="37" spans="1:43" x14ac:dyDescent="0.25">
      <c r="A37" t="s">
        <v>43</v>
      </c>
      <c r="C37" s="3">
        <v>16183</v>
      </c>
      <c r="D37" s="9">
        <v>22.85</v>
      </c>
      <c r="E37" s="9">
        <v>27.71</v>
      </c>
      <c r="F37" s="24">
        <f t="shared" si="3"/>
        <v>1.2126914660831509</v>
      </c>
      <c r="G37" s="24"/>
      <c r="H37" s="9">
        <v>5.77</v>
      </c>
      <c r="I37" s="9">
        <v>8.01</v>
      </c>
      <c r="J37" s="24">
        <f>IF( H37&lt;&gt;"",H37/E37,"")</f>
        <v>0.20822807650667627</v>
      </c>
      <c r="K37" s="9">
        <v>2.68</v>
      </c>
      <c r="L37" s="9">
        <v>6.58</v>
      </c>
      <c r="M37" s="24">
        <f t="shared" si="4"/>
        <v>0.40729483282674772</v>
      </c>
      <c r="N37" s="9">
        <v>0.97</v>
      </c>
      <c r="O37" s="9">
        <v>3</v>
      </c>
      <c r="P37" s="1">
        <v>3054</v>
      </c>
      <c r="Q37" s="27">
        <f t="shared" si="5"/>
        <v>139</v>
      </c>
      <c r="R37" s="1">
        <v>1525</v>
      </c>
      <c r="S37" s="27">
        <f t="shared" si="6"/>
        <v>77</v>
      </c>
      <c r="U37" s="27">
        <f>T37/D37</f>
        <v>0</v>
      </c>
      <c r="V37">
        <v>1706</v>
      </c>
      <c r="W37" s="27">
        <f>V37/$D$9</f>
        <v>52.283174992338331</v>
      </c>
      <c r="AA37" s="30" t="e">
        <f>IF(X37&lt;&gt;"",(((X37/Hoja3!$F$10)/Z37)/E37),(((Y37/Hoja3!$F$11)/Z37)/E37))</f>
        <v>#DIV/0!</v>
      </c>
      <c r="AB37">
        <v>1096</v>
      </c>
      <c r="AF37">
        <v>1000</v>
      </c>
      <c r="AJ37" s="14">
        <v>9750</v>
      </c>
      <c r="AK37" s="30">
        <f>AJ37/D37</f>
        <v>426.69584245076584</v>
      </c>
      <c r="AL37" s="35">
        <f>AJ37-AF37</f>
        <v>8750</v>
      </c>
      <c r="AM37" s="30">
        <f>AL37/$D37</f>
        <v>382.93216630196935</v>
      </c>
      <c r="AN37" s="35">
        <f>AJ37-AF37-T37--V37-X37-Y37-AB37</f>
        <v>9360</v>
      </c>
      <c r="AO37" s="36">
        <f>AN37/$D37</f>
        <v>409.62800875273518</v>
      </c>
    </row>
    <row r="38" spans="1:43" x14ac:dyDescent="0.25">
      <c r="A38" t="s">
        <v>43</v>
      </c>
      <c r="C38" s="3">
        <v>16225</v>
      </c>
      <c r="D38" s="9">
        <v>31.45</v>
      </c>
      <c r="E38" s="9">
        <v>30.81</v>
      </c>
      <c r="F38" s="24">
        <f t="shared" si="3"/>
        <v>0.97965023847376786</v>
      </c>
      <c r="G38" s="24"/>
      <c r="H38" s="9">
        <v>9.32</v>
      </c>
      <c r="I38" s="9">
        <v>11.23</v>
      </c>
      <c r="J38" s="24">
        <f>IF( H38&lt;&gt;"",H38/E38,"")</f>
        <v>0.30249918857513797</v>
      </c>
      <c r="K38" s="9">
        <v>2.67</v>
      </c>
      <c r="L38" s="9">
        <v>3.99</v>
      </c>
      <c r="M38" s="24">
        <f t="shared" si="4"/>
        <v>0.66917293233082698</v>
      </c>
      <c r="N38" s="9">
        <v>2.2000000000000002</v>
      </c>
      <c r="O38" s="9">
        <v>3</v>
      </c>
      <c r="P38" s="1">
        <v>5890</v>
      </c>
      <c r="Q38" s="27">
        <f t="shared" si="5"/>
        <v>190</v>
      </c>
      <c r="R38" s="1">
        <v>5098</v>
      </c>
      <c r="S38" s="27">
        <f t="shared" si="6"/>
        <v>255</v>
      </c>
      <c r="U38" s="27">
        <f>T38/D38</f>
        <v>0</v>
      </c>
      <c r="V38">
        <v>2960</v>
      </c>
      <c r="W38" s="27">
        <f>V38/$D$9</f>
        <v>90.714066809684326</v>
      </c>
      <c r="Y38">
        <v>0</v>
      </c>
      <c r="AA38" s="30" t="e">
        <f>IF(X38&lt;&gt;"",(((X38/Hoja3!$F$10)/Z38)/E38),(((Y38/Hoja3!$F$11)/Z38)/E38))</f>
        <v>#DIV/0!</v>
      </c>
      <c r="AB38">
        <f>1360+390</f>
        <v>1750</v>
      </c>
      <c r="AF38">
        <f>4355-1200</f>
        <v>3155</v>
      </c>
      <c r="AI38">
        <v>1200</v>
      </c>
      <c r="AJ38" s="14">
        <v>22444</v>
      </c>
      <c r="AK38" s="30">
        <f>AJ38/D38</f>
        <v>713.64069952305249</v>
      </c>
      <c r="AL38" s="35">
        <f>AJ38-AF38</f>
        <v>19289</v>
      </c>
      <c r="AM38" s="30">
        <f>AL38/$D38</f>
        <v>613.32273449920513</v>
      </c>
      <c r="AN38" s="35">
        <f>AJ38-AF38-T38--V38-X38-Y38-AB38</f>
        <v>20499</v>
      </c>
      <c r="AO38" s="36">
        <f>AN38/$D38</f>
        <v>651.79650238473766</v>
      </c>
    </row>
    <row r="39" spans="1:43" x14ac:dyDescent="0.25">
      <c r="A39" t="s">
        <v>43</v>
      </c>
      <c r="B39">
        <v>0</v>
      </c>
      <c r="C39" s="3">
        <v>16142</v>
      </c>
      <c r="D39" s="9">
        <v>9.52</v>
      </c>
      <c r="E39" s="9">
        <v>16.39</v>
      </c>
      <c r="F39" s="24">
        <f t="shared" si="3"/>
        <v>1.721638655462185</v>
      </c>
      <c r="G39" s="24"/>
      <c r="H39" s="9">
        <v>4.32</v>
      </c>
      <c r="I39" s="9">
        <v>1.21</v>
      </c>
      <c r="J39" s="24">
        <f>IF( H39&lt;&gt;"",H39/E39,"")</f>
        <v>0.263575350823673</v>
      </c>
      <c r="K39" s="9">
        <v>1.59</v>
      </c>
      <c r="L39" s="9">
        <v>3.91</v>
      </c>
      <c r="M39" s="24">
        <f t="shared" si="4"/>
        <v>0.40664961636828645</v>
      </c>
      <c r="N39" s="9">
        <v>2.1800000000000002</v>
      </c>
      <c r="O39" s="9">
        <v>3</v>
      </c>
      <c r="P39" s="1">
        <v>2589</v>
      </c>
      <c r="Q39" s="27">
        <f t="shared" si="5"/>
        <v>288</v>
      </c>
      <c r="R39" s="1">
        <v>1962</v>
      </c>
      <c r="S39" s="27">
        <f t="shared" si="6"/>
        <v>99</v>
      </c>
      <c r="T39">
        <v>552</v>
      </c>
      <c r="U39" s="27">
        <f>T39/D39</f>
        <v>57.983193277310924</v>
      </c>
      <c r="W39" s="27">
        <f>V39/$D$9</f>
        <v>0</v>
      </c>
      <c r="X39">
        <v>2574</v>
      </c>
      <c r="Z39">
        <v>3</v>
      </c>
      <c r="AA39" s="30">
        <f>IF(X39&lt;&gt;"",(((X39/Hoja3!$F$10)/Z39)/E39),(((Y39/Hoja3!$F$11)/Z39)/E39))</f>
        <v>0.9517998779743746</v>
      </c>
      <c r="AB39">
        <v>1200</v>
      </c>
      <c r="AF39">
        <v>1192</v>
      </c>
      <c r="AG39">
        <v>2900</v>
      </c>
      <c r="AH39">
        <v>900</v>
      </c>
      <c r="AJ39" s="14">
        <f>17020-1650</f>
        <v>15370</v>
      </c>
      <c r="AK39" s="30">
        <f>AJ39/D39</f>
        <v>1614.4957983193278</v>
      </c>
      <c r="AL39" s="35">
        <f>AJ39-AF39</f>
        <v>14178</v>
      </c>
      <c r="AM39" s="30">
        <f>AL39/$D39</f>
        <v>1489.2857142857144</v>
      </c>
      <c r="AN39" s="35">
        <f>AJ39-AF39-T39--V39-X39-Y39-AB39</f>
        <v>9852</v>
      </c>
      <c r="AO39" s="36">
        <f>AN39/$D39</f>
        <v>1034.873949579832</v>
      </c>
      <c r="AQ39" t="s">
        <v>115</v>
      </c>
    </row>
    <row r="40" spans="1:43" x14ac:dyDescent="0.25">
      <c r="A40" t="s">
        <v>43</v>
      </c>
      <c r="B40">
        <v>0</v>
      </c>
      <c r="C40" s="3">
        <v>16141</v>
      </c>
      <c r="D40" s="9">
        <v>9.3800000000000008</v>
      </c>
      <c r="E40" s="9">
        <v>16.100000000000001</v>
      </c>
      <c r="F40" s="24">
        <f t="shared" si="3"/>
        <v>1.7164179104477613</v>
      </c>
      <c r="G40" s="24"/>
      <c r="H40" s="9">
        <v>4.2</v>
      </c>
      <c r="I40" s="9">
        <v>1.25</v>
      </c>
      <c r="J40" s="24">
        <f>IF( H40&lt;&gt;"",H40/E40,"")</f>
        <v>0.2608695652173913</v>
      </c>
      <c r="K40" s="9">
        <v>1.53</v>
      </c>
      <c r="L40" s="9">
        <v>3.74</v>
      </c>
      <c r="M40" s="24">
        <f t="shared" si="4"/>
        <v>0.40909090909090906</v>
      </c>
      <c r="N40" s="9">
        <v>2.21</v>
      </c>
      <c r="O40" s="9">
        <v>3</v>
      </c>
      <c r="P40" s="1">
        <v>3761</v>
      </c>
      <c r="Q40" s="27">
        <f t="shared" si="5"/>
        <v>418</v>
      </c>
      <c r="R40" s="1">
        <v>2224</v>
      </c>
      <c r="S40" s="27">
        <f t="shared" si="6"/>
        <v>112</v>
      </c>
      <c r="U40" s="27">
        <f>T40/D40</f>
        <v>0</v>
      </c>
      <c r="V40">
        <v>1103</v>
      </c>
      <c r="W40" s="27">
        <f>V40/$D$9</f>
        <v>33.803248544284401</v>
      </c>
      <c r="Z40">
        <v>3</v>
      </c>
      <c r="AA40" s="30">
        <f>IF(X40&lt;&gt;"",(((X40/Hoja3!$F$10)/Z40)/E40),(((Y40/Hoja3!$F$11)/Z40)/E40))</f>
        <v>0</v>
      </c>
      <c r="AB40">
        <v>1700</v>
      </c>
      <c r="AF40">
        <v>885</v>
      </c>
      <c r="AJ40" s="14">
        <v>12292</v>
      </c>
      <c r="AK40" s="30">
        <f>AJ40/D40</f>
        <v>1310.4477611940297</v>
      </c>
      <c r="AL40" s="35">
        <f>AJ40-AF40</f>
        <v>11407</v>
      </c>
      <c r="AM40" s="30">
        <f>AL40/$D40</f>
        <v>1216.0980810234541</v>
      </c>
      <c r="AN40" s="35">
        <f>AJ40-AF40-T40--V40-X40-Y40-AB40</f>
        <v>10810</v>
      </c>
      <c r="AO40" s="36">
        <f>AN40/$D40</f>
        <v>1152.4520255863538</v>
      </c>
    </row>
    <row r="41" spans="1:43" x14ac:dyDescent="0.25">
      <c r="A41" t="s">
        <v>43</v>
      </c>
      <c r="B41">
        <v>0</v>
      </c>
      <c r="C41" s="3">
        <v>16133</v>
      </c>
      <c r="D41" s="9">
        <v>13.73</v>
      </c>
      <c r="E41" s="9">
        <v>18.18</v>
      </c>
      <c r="F41" s="24">
        <f t="shared" si="3"/>
        <v>1.324107793153678</v>
      </c>
      <c r="G41" s="24"/>
      <c r="H41" s="9">
        <v>5.55</v>
      </c>
      <c r="I41" s="9">
        <v>2.39</v>
      </c>
      <c r="J41" s="24">
        <f>IF( H41&lt;&gt;"",H41/E41,"")</f>
        <v>0.30528052805280526</v>
      </c>
      <c r="K41" s="9">
        <v>2.2000000000000002</v>
      </c>
      <c r="L41" s="9">
        <v>2.82</v>
      </c>
      <c r="M41" s="24">
        <f t="shared" si="4"/>
        <v>0.78014184397163133</v>
      </c>
      <c r="N41" s="9">
        <v>2.2400000000000002</v>
      </c>
      <c r="O41" s="9">
        <v>3</v>
      </c>
      <c r="P41" s="1">
        <v>2610</v>
      </c>
      <c r="Q41" s="27">
        <f t="shared" si="5"/>
        <v>201</v>
      </c>
      <c r="R41" s="1">
        <v>2085</v>
      </c>
      <c r="S41" s="27">
        <f t="shared" si="6"/>
        <v>105</v>
      </c>
      <c r="U41" s="27">
        <f>T41/D41</f>
        <v>0</v>
      </c>
      <c r="V41">
        <v>1251</v>
      </c>
      <c r="W41" s="27">
        <f>V41/$D$9</f>
        <v>38.338951884768612</v>
      </c>
      <c r="Z41">
        <v>3</v>
      </c>
      <c r="AA41" s="30">
        <f>IF(X41&lt;&gt;"",(((X41/Hoja3!$F$10)/Z41)/E41),(((Y41/Hoja3!$F$11)/Z41)/E41))</f>
        <v>0</v>
      </c>
      <c r="AB41">
        <v>1150</v>
      </c>
      <c r="AF41">
        <v>2750</v>
      </c>
      <c r="AJ41" s="14">
        <v>13311</v>
      </c>
      <c r="AK41" s="30">
        <f>AJ41/D41</f>
        <v>969.48288419519292</v>
      </c>
      <c r="AL41" s="35">
        <f>AJ41-AF41</f>
        <v>10561</v>
      </c>
      <c r="AM41" s="30">
        <f>AL41/$D41</f>
        <v>769.19155134741436</v>
      </c>
      <c r="AN41" s="35">
        <f>AJ41-AF41-T41--V41-X41-Y41-AB41</f>
        <v>10662</v>
      </c>
      <c r="AO41" s="36">
        <f>AN41/$D41</f>
        <v>776.54770575382372</v>
      </c>
    </row>
    <row r="42" spans="1:43" x14ac:dyDescent="0.25">
      <c r="C42" s="3"/>
      <c r="D42" s="9"/>
      <c r="E42" s="9"/>
      <c r="F42" s="24"/>
      <c r="G42" s="24"/>
      <c r="H42" s="9"/>
      <c r="I42" s="9"/>
      <c r="J42" s="24"/>
      <c r="K42" s="9"/>
      <c r="L42" s="9"/>
      <c r="M42" s="24"/>
      <c r="N42" s="9"/>
      <c r="O42" s="9"/>
      <c r="P42" s="1"/>
      <c r="R42" s="1"/>
      <c r="AK42" s="30"/>
    </row>
    <row r="43" spans="1:43" x14ac:dyDescent="0.25">
      <c r="C43" s="5" t="s">
        <v>19</v>
      </c>
      <c r="D43" s="10">
        <f t="shared" ref="D43:U43" si="30">MAX(D37:D38)</f>
        <v>31.45</v>
      </c>
      <c r="E43" s="10">
        <f t="shared" si="30"/>
        <v>30.81</v>
      </c>
      <c r="F43" s="25">
        <f t="shared" si="30"/>
        <v>1.2126914660831509</v>
      </c>
      <c r="G43" s="25">
        <f t="shared" si="30"/>
        <v>0</v>
      </c>
      <c r="H43" s="10">
        <f t="shared" si="30"/>
        <v>9.32</v>
      </c>
      <c r="I43" s="10">
        <f t="shared" si="30"/>
        <v>11.23</v>
      </c>
      <c r="J43" s="25">
        <f t="shared" si="30"/>
        <v>0.30249918857513797</v>
      </c>
      <c r="K43" s="10">
        <f t="shared" si="30"/>
        <v>2.68</v>
      </c>
      <c r="L43" s="10">
        <f t="shared" si="30"/>
        <v>6.58</v>
      </c>
      <c r="M43" s="25">
        <f t="shared" si="30"/>
        <v>0.66917293233082698</v>
      </c>
      <c r="N43" s="10">
        <f t="shared" si="30"/>
        <v>2.2000000000000002</v>
      </c>
      <c r="O43" s="10">
        <f t="shared" si="30"/>
        <v>3</v>
      </c>
      <c r="P43" s="10">
        <f t="shared" si="30"/>
        <v>5890</v>
      </c>
      <c r="Q43" s="25">
        <f t="shared" si="30"/>
        <v>190</v>
      </c>
      <c r="R43" s="10">
        <f t="shared" si="30"/>
        <v>5098</v>
      </c>
      <c r="S43" s="25">
        <f t="shared" si="30"/>
        <v>255</v>
      </c>
      <c r="T43" s="10">
        <f t="shared" si="30"/>
        <v>0</v>
      </c>
      <c r="U43" s="25">
        <f t="shared" si="30"/>
        <v>0</v>
      </c>
      <c r="AA43" s="25" t="e">
        <f>MAX(AA38:AA39)</f>
        <v>#DIV/0!</v>
      </c>
      <c r="AB43" s="10">
        <f>MAX(AB38:AB39)</f>
        <v>1750</v>
      </c>
      <c r="AF43" s="10">
        <f>MAX(AF38:AF39)</f>
        <v>3155</v>
      </c>
      <c r="AK43" s="25">
        <f>MAX(AK37:AK38)</f>
        <v>713.64069952305249</v>
      </c>
      <c r="AM43" s="25">
        <f>MAX(AM37:AM38)</f>
        <v>613.32273449920513</v>
      </c>
      <c r="AO43" s="37">
        <f>MAX(AO37:AO38)</f>
        <v>651.79650238473766</v>
      </c>
    </row>
    <row r="44" spans="1:43" x14ac:dyDescent="0.25">
      <c r="C44" s="5" t="s">
        <v>20</v>
      </c>
      <c r="D44" s="10">
        <f t="shared" ref="D44:U44" si="31">MIN(D37:D38)</f>
        <v>22.85</v>
      </c>
      <c r="E44" s="10">
        <f t="shared" si="31"/>
        <v>27.71</v>
      </c>
      <c r="F44" s="25">
        <f t="shared" si="31"/>
        <v>0.97965023847376786</v>
      </c>
      <c r="G44" s="25">
        <f t="shared" si="31"/>
        <v>0</v>
      </c>
      <c r="H44" s="10">
        <f t="shared" si="31"/>
        <v>5.77</v>
      </c>
      <c r="I44" s="10">
        <f t="shared" si="31"/>
        <v>8.01</v>
      </c>
      <c r="J44" s="25">
        <f t="shared" si="31"/>
        <v>0.20822807650667627</v>
      </c>
      <c r="K44" s="10">
        <f t="shared" si="31"/>
        <v>2.67</v>
      </c>
      <c r="L44" s="10">
        <f t="shared" si="31"/>
        <v>3.99</v>
      </c>
      <c r="M44" s="25">
        <f t="shared" si="31"/>
        <v>0.40729483282674772</v>
      </c>
      <c r="N44" s="10">
        <f t="shared" si="31"/>
        <v>0.97</v>
      </c>
      <c r="O44" s="10">
        <f t="shared" si="31"/>
        <v>3</v>
      </c>
      <c r="P44" s="10">
        <f t="shared" si="31"/>
        <v>3054</v>
      </c>
      <c r="Q44" s="25">
        <f t="shared" si="31"/>
        <v>139</v>
      </c>
      <c r="R44" s="10">
        <f t="shared" si="31"/>
        <v>1525</v>
      </c>
      <c r="S44" s="25">
        <f t="shared" si="31"/>
        <v>77</v>
      </c>
      <c r="T44" s="10">
        <f t="shared" si="31"/>
        <v>0</v>
      </c>
      <c r="U44" s="25">
        <f t="shared" si="31"/>
        <v>0</v>
      </c>
      <c r="AA44" s="25" t="e">
        <f>MIN(AA38:AA39)</f>
        <v>#DIV/0!</v>
      </c>
      <c r="AB44" s="10">
        <f>MIN(AB38:AB39)</f>
        <v>1200</v>
      </c>
      <c r="AF44" s="10">
        <f>MIN(AF38:AF39)</f>
        <v>1192</v>
      </c>
      <c r="AK44" s="25">
        <f>MIN(AK37:AK38)</f>
        <v>426.69584245076584</v>
      </c>
      <c r="AM44" s="25">
        <f>MIN(AM37:AM38)</f>
        <v>382.93216630196935</v>
      </c>
      <c r="AO44" s="37">
        <f>MIN(AO37:AO38)</f>
        <v>409.62800875273518</v>
      </c>
    </row>
    <row r="45" spans="1:43" x14ac:dyDescent="0.25">
      <c r="C45" s="5" t="s">
        <v>21</v>
      </c>
      <c r="D45" s="10">
        <f t="shared" ref="D45:U45" si="32">GEOMEAN(D37:D38)</f>
        <v>26.807321761041329</v>
      </c>
      <c r="E45" s="10">
        <f t="shared" si="32"/>
        <v>29.218916817705615</v>
      </c>
      <c r="F45" s="25">
        <f t="shared" si="32"/>
        <v>1.0899603130130298</v>
      </c>
      <c r="G45" s="25" t="e">
        <f t="shared" si="32"/>
        <v>#NUM!</v>
      </c>
      <c r="H45" s="10">
        <f t="shared" si="32"/>
        <v>7.333239393337708</v>
      </c>
      <c r="I45" s="10">
        <f t="shared" si="32"/>
        <v>9.4843186365705776</v>
      </c>
      <c r="J45" s="25">
        <f t="shared" si="32"/>
        <v>0.25097574421013541</v>
      </c>
      <c r="K45" s="10">
        <f t="shared" si="32"/>
        <v>2.6749953270987223</v>
      </c>
      <c r="L45" s="10">
        <f t="shared" si="32"/>
        <v>5.1238852446166279</v>
      </c>
      <c r="M45" s="25">
        <f t="shared" si="32"/>
        <v>0.52206386353191381</v>
      </c>
      <c r="N45" s="10">
        <f t="shared" si="32"/>
        <v>1.4608216865860117</v>
      </c>
      <c r="O45" s="10">
        <f t="shared" si="32"/>
        <v>3</v>
      </c>
      <c r="P45" s="10">
        <f t="shared" si="32"/>
        <v>4241.2333111961671</v>
      </c>
      <c r="Q45" s="25">
        <f t="shared" si="32"/>
        <v>162.51153805191802</v>
      </c>
      <c r="R45" s="10">
        <f t="shared" si="32"/>
        <v>2788.2700730022548</v>
      </c>
      <c r="S45" s="25">
        <f t="shared" si="32"/>
        <v>140.12494424619766</v>
      </c>
      <c r="T45" s="10" t="e">
        <f t="shared" si="32"/>
        <v>#NUM!</v>
      </c>
      <c r="U45" s="25" t="e">
        <f t="shared" si="32"/>
        <v>#NUM!</v>
      </c>
      <c r="AA45" s="25" t="e">
        <f>GEOMEAN(AA38:AA39)</f>
        <v>#DIV/0!</v>
      </c>
      <c r="AB45" s="10">
        <f>GEOMEAN(AB38:AB39)</f>
        <v>1449.1376746189439</v>
      </c>
      <c r="AF45" s="10">
        <f>GEOMEAN(AF38:AF39)</f>
        <v>1939.2679031015803</v>
      </c>
      <c r="AK45" s="25">
        <f>GEOMEAN(AK37:AK38)</f>
        <v>551.82199982434793</v>
      </c>
      <c r="AM45" s="25">
        <f>GEOMEAN(AM37:AM38)</f>
        <v>484.62460045279192</v>
      </c>
      <c r="AO45" s="37">
        <f>GEOMEAN(AO37:AO38)</f>
        <v>516.71472147003658</v>
      </c>
    </row>
    <row r="46" spans="1:43" x14ac:dyDescent="0.25">
      <c r="C46" s="3"/>
      <c r="D46" s="9"/>
      <c r="E46" s="9"/>
      <c r="F46" s="24"/>
      <c r="G46" s="24"/>
      <c r="H46" s="9"/>
      <c r="I46" s="9"/>
      <c r="J46" s="24"/>
      <c r="K46" s="9"/>
      <c r="L46" s="9"/>
      <c r="M46" s="24"/>
      <c r="N46" s="9"/>
      <c r="O46" s="9"/>
      <c r="P46" s="1"/>
      <c r="R46" s="1"/>
      <c r="AK46" s="30"/>
    </row>
    <row r="47" spans="1:43" x14ac:dyDescent="0.25">
      <c r="A47" t="s">
        <v>10</v>
      </c>
      <c r="C47" s="3">
        <v>16297</v>
      </c>
      <c r="D47" s="9">
        <v>31.45</v>
      </c>
      <c r="E47" s="9">
        <v>33.19</v>
      </c>
      <c r="F47" s="24">
        <f t="shared" si="3"/>
        <v>1.0553259141494435</v>
      </c>
      <c r="G47" s="24"/>
      <c r="H47" s="9">
        <v>13.6</v>
      </c>
      <c r="I47" s="9"/>
      <c r="J47" s="24">
        <f>IF( H47&lt;&gt;"",H47/E47,"")</f>
        <v>0.40976197649894547</v>
      </c>
      <c r="K47" s="9">
        <v>2.27</v>
      </c>
      <c r="L47" s="9"/>
      <c r="M47" s="24" t="str">
        <f t="shared" si="4"/>
        <v/>
      </c>
      <c r="N47" s="9"/>
      <c r="O47" s="9">
        <v>3</v>
      </c>
      <c r="P47" s="1">
        <v>4950</v>
      </c>
      <c r="Q47" s="27">
        <f t="shared" si="5"/>
        <v>160</v>
      </c>
      <c r="R47" s="1">
        <v>5167</v>
      </c>
      <c r="S47" s="27">
        <f t="shared" si="6"/>
        <v>259</v>
      </c>
      <c r="T47">
        <v>1508</v>
      </c>
      <c r="U47" s="27">
        <f>T47/D47</f>
        <v>47.949125596184423</v>
      </c>
      <c r="W47" s="27">
        <f>V47/$D$9</f>
        <v>0</v>
      </c>
      <c r="X47">
        <v>3103</v>
      </c>
      <c r="Z47">
        <v>1.8</v>
      </c>
      <c r="AA47" s="30">
        <f>IF(X47&lt;&gt;"",(((X47/Hoja3!$F$10)/Z47)/E47),(((Y47/Hoja3!$F$11)/Z47)/E47))</f>
        <v>0.94436379461989595</v>
      </c>
      <c r="AB47">
        <f>704+850</f>
        <v>1554</v>
      </c>
      <c r="AF47">
        <v>1780</v>
      </c>
      <c r="AJ47" s="14">
        <v>20022</v>
      </c>
      <c r="AK47" s="30">
        <f>AJ47/D47</f>
        <v>636.62957074721783</v>
      </c>
      <c r="AL47" s="35">
        <f>AJ47-AF47</f>
        <v>18242</v>
      </c>
      <c r="AM47" s="30">
        <f>AL47/$D47</f>
        <v>580.03179650238474</v>
      </c>
      <c r="AN47" s="35">
        <f>AJ47-AF47-T47--V47-X47-Y47-AB47</f>
        <v>12077</v>
      </c>
      <c r="AO47" s="36">
        <f>AN47/$D47</f>
        <v>384.00635930047696</v>
      </c>
    </row>
    <row r="48" spans="1:43" x14ac:dyDescent="0.25">
      <c r="A48" t="s">
        <v>10</v>
      </c>
      <c r="C48" s="3">
        <v>16250</v>
      </c>
      <c r="D48" s="9">
        <v>26.67</v>
      </c>
      <c r="E48" s="9">
        <v>26.84</v>
      </c>
      <c r="F48" s="24">
        <f t="shared" si="3"/>
        <v>1.0063742032245968</v>
      </c>
      <c r="G48" s="24"/>
      <c r="H48" s="9">
        <v>8.6300000000000008</v>
      </c>
      <c r="I48" s="9"/>
      <c r="J48" s="24">
        <f>IF( H48&lt;&gt;"",H48/E48,"")</f>
        <v>0.3215350223546945</v>
      </c>
      <c r="K48" s="9">
        <v>2.2000000000000002</v>
      </c>
      <c r="L48" s="9"/>
      <c r="M48" s="24" t="str">
        <f t="shared" si="4"/>
        <v/>
      </c>
      <c r="N48" s="9"/>
      <c r="O48" s="9">
        <v>3</v>
      </c>
      <c r="P48" s="1">
        <v>3245</v>
      </c>
      <c r="Q48" s="27">
        <f t="shared" si="5"/>
        <v>125</v>
      </c>
      <c r="R48" s="1">
        <v>4980</v>
      </c>
      <c r="S48" s="27">
        <f t="shared" si="6"/>
        <v>249</v>
      </c>
      <c r="U48" s="27">
        <f>T48/D48</f>
        <v>0</v>
      </c>
      <c r="V48">
        <v>2083</v>
      </c>
      <c r="W48" s="27">
        <f>V48/$D$9</f>
        <v>63.836959852896101</v>
      </c>
      <c r="Y48">
        <v>1870</v>
      </c>
      <c r="Z48">
        <v>2.7</v>
      </c>
      <c r="AA48" s="30">
        <f>IF(X48&lt;&gt;"",(((X48/Hoja3!$F$10)/Z48)/E48),(((Y48/Hoja3!$F$11)/Z48)/E48))</f>
        <v>0.30358227079538552</v>
      </c>
      <c r="AF48">
        <v>3315</v>
      </c>
      <c r="AJ48" s="14">
        <v>17178</v>
      </c>
      <c r="AK48" s="30">
        <f>AJ48/D48</f>
        <v>644.09448818897636</v>
      </c>
      <c r="AL48" s="35">
        <f>AJ48-AF48</f>
        <v>13863</v>
      </c>
      <c r="AM48" s="30">
        <f>AL48/$D48</f>
        <v>519.79752530933627</v>
      </c>
      <c r="AN48" s="35">
        <f>AJ48-AF48-T48--V48-X48-Y48-AB48</f>
        <v>14076</v>
      </c>
      <c r="AO48" s="36">
        <f>AN48/$D48</f>
        <v>527.78402699662536</v>
      </c>
    </row>
    <row r="49" spans="1:43" x14ac:dyDescent="0.25">
      <c r="A49" t="s">
        <v>10</v>
      </c>
      <c r="B49">
        <v>0</v>
      </c>
      <c r="C49" s="3">
        <v>16169</v>
      </c>
      <c r="D49" s="9">
        <v>33.340000000000003</v>
      </c>
      <c r="E49" s="9">
        <v>35.58</v>
      </c>
      <c r="F49" s="24"/>
      <c r="G49" s="24"/>
      <c r="H49" s="9">
        <v>4.41</v>
      </c>
      <c r="I49" s="9">
        <v>13.88</v>
      </c>
      <c r="J49" s="24"/>
      <c r="K49" s="9">
        <v>3.28</v>
      </c>
      <c r="L49" s="9">
        <v>2.78</v>
      </c>
      <c r="M49" s="24"/>
      <c r="N49" s="9"/>
      <c r="O49" s="9">
        <v>3</v>
      </c>
      <c r="P49" s="1">
        <v>3513</v>
      </c>
      <c r="Q49" s="27">
        <f t="shared" si="5"/>
        <v>107</v>
      </c>
      <c r="R49" s="1">
        <v>2277</v>
      </c>
      <c r="S49" s="27">
        <f t="shared" si="6"/>
        <v>114</v>
      </c>
      <c r="V49">
        <v>3191</v>
      </c>
      <c r="Y49">
        <v>5738</v>
      </c>
      <c r="Z49">
        <v>1.8</v>
      </c>
      <c r="AA49" s="30"/>
      <c r="AB49">
        <v>1000</v>
      </c>
      <c r="AF49">
        <v>1923</v>
      </c>
      <c r="AJ49" s="14">
        <v>20935</v>
      </c>
      <c r="AK49" s="30">
        <f>AJ49/D49</f>
        <v>627.92441511697655</v>
      </c>
      <c r="AL49" s="35">
        <f>AJ49-AF49</f>
        <v>19012</v>
      </c>
      <c r="AM49" s="30">
        <f>AL49/$D49</f>
        <v>570.24595080983795</v>
      </c>
      <c r="AN49" s="35">
        <f>AJ49-AF49-T49--V49-X49-Y49-AB49</f>
        <v>15465</v>
      </c>
      <c r="AO49" s="36">
        <f>AN49/$D49</f>
        <v>463.85722855428912</v>
      </c>
    </row>
    <row r="50" spans="1:43" x14ac:dyDescent="0.25">
      <c r="C50" s="3"/>
      <c r="D50" s="9"/>
      <c r="E50" s="9"/>
      <c r="F50" s="24"/>
      <c r="G50" s="24"/>
      <c r="H50" s="9"/>
      <c r="I50" s="9"/>
      <c r="J50" s="24"/>
      <c r="K50" s="9"/>
      <c r="L50" s="9"/>
      <c r="M50" s="24"/>
      <c r="N50" s="9"/>
      <c r="O50" s="9"/>
      <c r="P50" s="1"/>
      <c r="R50" s="1"/>
      <c r="AK50" s="30"/>
    </row>
    <row r="51" spans="1:43" x14ac:dyDescent="0.25">
      <c r="C51" s="5" t="s">
        <v>19</v>
      </c>
      <c r="D51" s="10">
        <f t="shared" ref="D51:S51" si="33">MAX(D47:D49)</f>
        <v>33.340000000000003</v>
      </c>
      <c r="E51" s="10">
        <f t="shared" si="33"/>
        <v>35.58</v>
      </c>
      <c r="F51" s="25">
        <f t="shared" si="33"/>
        <v>1.0553259141494435</v>
      </c>
      <c r="G51" s="25">
        <f t="shared" si="33"/>
        <v>0</v>
      </c>
      <c r="H51" s="10">
        <f t="shared" si="33"/>
        <v>13.6</v>
      </c>
      <c r="I51" s="10">
        <f t="shared" si="33"/>
        <v>13.88</v>
      </c>
      <c r="J51" s="25">
        <f t="shared" si="33"/>
        <v>0.40976197649894547</v>
      </c>
      <c r="K51" s="10">
        <f t="shared" si="33"/>
        <v>3.28</v>
      </c>
      <c r="L51" s="10">
        <f t="shared" si="33"/>
        <v>2.78</v>
      </c>
      <c r="M51" s="25">
        <f t="shared" si="33"/>
        <v>0</v>
      </c>
      <c r="N51" s="10">
        <f t="shared" si="33"/>
        <v>0</v>
      </c>
      <c r="O51" s="10">
        <f t="shared" si="33"/>
        <v>3</v>
      </c>
      <c r="P51" s="10">
        <f t="shared" si="33"/>
        <v>4950</v>
      </c>
      <c r="Q51" s="25">
        <f t="shared" si="33"/>
        <v>160</v>
      </c>
      <c r="R51" s="10">
        <f t="shared" si="33"/>
        <v>5167</v>
      </c>
      <c r="S51" s="25">
        <f t="shared" si="33"/>
        <v>259</v>
      </c>
      <c r="AA51" s="25">
        <f>MAX(AA47:AA49)</f>
        <v>0.94436379461989595</v>
      </c>
      <c r="AK51" s="25">
        <f>MAX(AK47:AK49)</f>
        <v>644.09448818897636</v>
      </c>
      <c r="AM51" s="25">
        <f>MAX(AM47:AM49)</f>
        <v>580.03179650238474</v>
      </c>
      <c r="AO51" s="37" t="s">
        <v>112</v>
      </c>
    </row>
    <row r="52" spans="1:43" x14ac:dyDescent="0.25">
      <c r="C52" s="5" t="s">
        <v>20</v>
      </c>
      <c r="D52" s="10">
        <f t="shared" ref="D52:S52" si="34">MIN(D47:D49)</f>
        <v>26.67</v>
      </c>
      <c r="E52" s="10">
        <f t="shared" si="34"/>
        <v>26.84</v>
      </c>
      <c r="F52" s="25">
        <f t="shared" si="34"/>
        <v>1.0063742032245968</v>
      </c>
      <c r="G52" s="25">
        <f t="shared" si="34"/>
        <v>0</v>
      </c>
      <c r="H52" s="10">
        <f t="shared" si="34"/>
        <v>4.41</v>
      </c>
      <c r="I52" s="10">
        <f t="shared" si="34"/>
        <v>13.88</v>
      </c>
      <c r="J52" s="25">
        <f t="shared" si="34"/>
        <v>0.3215350223546945</v>
      </c>
      <c r="K52" s="10">
        <f t="shared" si="34"/>
        <v>2.2000000000000002</v>
      </c>
      <c r="L52" s="10">
        <f t="shared" si="34"/>
        <v>2.78</v>
      </c>
      <c r="M52" s="25">
        <f t="shared" si="34"/>
        <v>0</v>
      </c>
      <c r="N52" s="10">
        <f t="shared" si="34"/>
        <v>0</v>
      </c>
      <c r="O52" s="10">
        <f t="shared" si="34"/>
        <v>3</v>
      </c>
      <c r="P52" s="10">
        <f t="shared" si="34"/>
        <v>3245</v>
      </c>
      <c r="Q52" s="25">
        <f t="shared" si="34"/>
        <v>107</v>
      </c>
      <c r="R52" s="10">
        <f t="shared" si="34"/>
        <v>2277</v>
      </c>
      <c r="S52" s="25">
        <f t="shared" si="34"/>
        <v>114</v>
      </c>
      <c r="AA52" s="25">
        <f>MIN(AA47:AA49)</f>
        <v>0.30358227079538552</v>
      </c>
      <c r="AK52" s="25">
        <f>MIN(AK47:AK49)</f>
        <v>627.92441511697655</v>
      </c>
      <c r="AM52" s="25">
        <f>MIN(AM47:AM49)</f>
        <v>519.79752530933627</v>
      </c>
      <c r="AO52" s="37">
        <f>MIN(AO47:AO48)</f>
        <v>384.00635930047696</v>
      </c>
    </row>
    <row r="53" spans="1:43" x14ac:dyDescent="0.25">
      <c r="C53" s="5" t="s">
        <v>21</v>
      </c>
      <c r="D53" s="10">
        <f t="shared" ref="D53:S53" si="35">GEOMEAN(D47:D49)</f>
        <v>30.35310239540231</v>
      </c>
      <c r="E53" s="10">
        <f t="shared" si="35"/>
        <v>31.646953035567307</v>
      </c>
      <c r="F53" s="25">
        <f t="shared" si="35"/>
        <v>1.0305594480642131</v>
      </c>
      <c r="G53" s="25" t="e">
        <f t="shared" si="35"/>
        <v>#NUM!</v>
      </c>
      <c r="H53" s="10">
        <f t="shared" si="35"/>
        <v>8.0290241557872104</v>
      </c>
      <c r="I53" s="10">
        <f t="shared" si="35"/>
        <v>13.88</v>
      </c>
      <c r="J53" s="25">
        <f t="shared" si="35"/>
        <v>0.36297772145641694</v>
      </c>
      <c r="K53" s="10">
        <f t="shared" si="35"/>
        <v>2.5396515114926124</v>
      </c>
      <c r="L53" s="10">
        <f t="shared" si="35"/>
        <v>2.78</v>
      </c>
      <c r="M53" s="25" t="e">
        <f t="shared" si="35"/>
        <v>#NUM!</v>
      </c>
      <c r="N53" s="10" t="e">
        <f t="shared" si="35"/>
        <v>#NUM!</v>
      </c>
      <c r="O53" s="10">
        <f t="shared" si="35"/>
        <v>3</v>
      </c>
      <c r="P53" s="10">
        <f t="shared" si="35"/>
        <v>3835.5944653970687</v>
      </c>
      <c r="Q53" s="25">
        <f t="shared" si="35"/>
        <v>128.86587425420976</v>
      </c>
      <c r="R53" s="10">
        <f t="shared" si="35"/>
        <v>3883.9796428907257</v>
      </c>
      <c r="S53" s="25">
        <f t="shared" si="35"/>
        <v>194.44703302373995</v>
      </c>
      <c r="AA53" s="25">
        <f>GEOMEAN(AA47:AA49)</f>
        <v>0.53543636898109104</v>
      </c>
      <c r="AK53" s="25">
        <f>GEOMEAN(AK47:AK49)</f>
        <v>636.18181854402485</v>
      </c>
      <c r="AM53" s="25">
        <f>GEOMEAN(AM47:AM49)</f>
        <v>556.05285264665065</v>
      </c>
      <c r="AO53" s="37">
        <f>GEOMEAN(AO47:AO48)</f>
        <v>450.19154001815576</v>
      </c>
    </row>
    <row r="54" spans="1:43" x14ac:dyDescent="0.25">
      <c r="C54" s="3"/>
      <c r="D54" s="9"/>
      <c r="E54" s="9"/>
      <c r="F54" s="24"/>
      <c r="G54" s="24"/>
      <c r="H54" s="9"/>
      <c r="I54" s="9"/>
      <c r="J54" s="24"/>
      <c r="K54" s="9"/>
      <c r="L54" s="9"/>
      <c r="M54" s="24"/>
      <c r="N54" s="9"/>
      <c r="O54" s="9"/>
      <c r="P54" s="1"/>
      <c r="R54" s="1"/>
      <c r="AK54" s="30"/>
    </row>
    <row r="55" spans="1:43" x14ac:dyDescent="0.25">
      <c r="A55" t="s">
        <v>11</v>
      </c>
      <c r="B55">
        <v>0</v>
      </c>
      <c r="C55" s="3">
        <v>16291</v>
      </c>
      <c r="D55" s="9">
        <v>21.72</v>
      </c>
      <c r="E55" s="9">
        <v>24.38</v>
      </c>
      <c r="F55" s="24">
        <f t="shared" si="3"/>
        <v>1.1224677716390423</v>
      </c>
      <c r="G55" s="24"/>
      <c r="I55" s="9">
        <v>6.05</v>
      </c>
      <c r="J55" s="24" t="e">
        <f>IF( I55&lt;&gt;"",I55/H55,"")</f>
        <v>#DIV/0!</v>
      </c>
      <c r="K55" s="9">
        <v>2.06</v>
      </c>
      <c r="L55" s="9">
        <v>4.21</v>
      </c>
      <c r="M55" s="24">
        <f t="shared" si="4"/>
        <v>0.48931116389548696</v>
      </c>
      <c r="N55" s="9">
        <v>2.8</v>
      </c>
      <c r="O55" s="9">
        <v>3</v>
      </c>
      <c r="P55" s="1">
        <v>3163</v>
      </c>
      <c r="Q55" s="27">
        <f t="shared" si="5"/>
        <v>151</v>
      </c>
      <c r="R55" s="1">
        <v>3567</v>
      </c>
      <c r="S55" s="27">
        <f t="shared" si="6"/>
        <v>179</v>
      </c>
      <c r="T55">
        <v>928</v>
      </c>
      <c r="U55" s="27">
        <f t="shared" ref="U55:U62" si="36">T55/D55</f>
        <v>42.7255985267035</v>
      </c>
      <c r="W55" s="27">
        <f t="shared" ref="W55:W63" si="37">V55/$D$9</f>
        <v>0</v>
      </c>
      <c r="X55">
        <v>1914</v>
      </c>
      <c r="Z55">
        <v>1.8</v>
      </c>
      <c r="AA55" s="30">
        <f>IF(X55&lt;&gt;"",(((X55/Hoja3!$F$10)/Z55)/E55),(((Y55/Hoja3!$F$11)/Z55)/E55))</f>
        <v>0.79299972655181838</v>
      </c>
      <c r="AB55">
        <v>704</v>
      </c>
      <c r="AF55">
        <v>2922</v>
      </c>
      <c r="AJ55" s="14">
        <v>14639</v>
      </c>
      <c r="AK55" s="30">
        <f t="shared" ref="AK55:AK64" si="38">AJ55/D55</f>
        <v>673.98710865561702</v>
      </c>
      <c r="AL55" s="35">
        <f t="shared" ref="AL55:AL62" si="39">AJ55-AF55</f>
        <v>11717</v>
      </c>
      <c r="AM55" s="30">
        <f t="shared" ref="AM55:AM64" si="40">AL55/$D55</f>
        <v>539.45672191528547</v>
      </c>
      <c r="AN55" s="35">
        <f t="shared" ref="AN55:AN62" si="41">AJ55-AF55-T55--V55-X55-Y55-AB55</f>
        <v>8171</v>
      </c>
      <c r="AO55" s="36">
        <f t="shared" ref="AO55:AO64" si="42">AN55/$D55</f>
        <v>376.19705340699818</v>
      </c>
    </row>
    <row r="56" spans="1:43" x14ac:dyDescent="0.25">
      <c r="A56" t="s">
        <v>11</v>
      </c>
      <c r="B56">
        <v>0</v>
      </c>
      <c r="C56" s="3">
        <v>16286</v>
      </c>
      <c r="D56" s="9">
        <v>21.23</v>
      </c>
      <c r="E56" s="9">
        <v>25.27</v>
      </c>
      <c r="F56" s="24">
        <f t="shared" si="3"/>
        <v>1.1902967498822421</v>
      </c>
      <c r="G56" s="24"/>
      <c r="I56" s="9">
        <v>7.25</v>
      </c>
      <c r="J56" s="24">
        <f t="shared" ref="J56:J64" si="43">IF( I56&lt;&gt;"",I56/E56,"")</f>
        <v>0.28690146418678275</v>
      </c>
      <c r="K56" s="9">
        <v>1.7</v>
      </c>
      <c r="L56" s="9">
        <v>3.66</v>
      </c>
      <c r="M56" s="24">
        <f t="shared" si="4"/>
        <v>0.46448087431693985</v>
      </c>
      <c r="N56" s="9">
        <v>2.14</v>
      </c>
      <c r="O56" s="9">
        <v>3</v>
      </c>
      <c r="P56" s="1">
        <v>2716</v>
      </c>
      <c r="Q56" s="27">
        <f t="shared" si="5"/>
        <v>130</v>
      </c>
      <c r="R56" s="1">
        <v>3490</v>
      </c>
      <c r="S56" s="27">
        <f t="shared" si="6"/>
        <v>175</v>
      </c>
      <c r="U56" s="27">
        <f t="shared" si="36"/>
        <v>0</v>
      </c>
      <c r="V56">
        <v>1320</v>
      </c>
      <c r="W56" s="27">
        <f t="shared" si="37"/>
        <v>40.453570334048422</v>
      </c>
      <c r="Y56">
        <v>2948</v>
      </c>
      <c r="Z56">
        <v>1.8</v>
      </c>
      <c r="AA56" s="30">
        <f>IF(X56&lt;&gt;"",(((X56/Hoja3!$F$10)/Z56)/E56),(((Y56/Hoja3!$F$11)/Z56)/E56))</f>
        <v>0.76248412569090418</v>
      </c>
      <c r="AB56">
        <v>1408</v>
      </c>
      <c r="AF56">
        <v>4490</v>
      </c>
      <c r="AG56">
        <v>2500</v>
      </c>
      <c r="AJ56" s="14">
        <v>18082</v>
      </c>
      <c r="AK56" s="30">
        <f t="shared" si="38"/>
        <v>851.71926519076771</v>
      </c>
      <c r="AL56" s="35">
        <f t="shared" si="39"/>
        <v>13592</v>
      </c>
      <c r="AM56" s="30">
        <f t="shared" si="40"/>
        <v>640.22609514837495</v>
      </c>
      <c r="AN56" s="35">
        <f t="shared" si="41"/>
        <v>10556</v>
      </c>
      <c r="AO56" s="36">
        <f t="shared" si="42"/>
        <v>497.2209138012247</v>
      </c>
    </row>
    <row r="57" spans="1:43" x14ac:dyDescent="0.25">
      <c r="A57" t="s">
        <v>11</v>
      </c>
      <c r="B57">
        <v>0</v>
      </c>
      <c r="C57" s="3">
        <v>16252</v>
      </c>
      <c r="D57" s="9">
        <v>18.82</v>
      </c>
      <c r="E57" s="9">
        <v>22.17</v>
      </c>
      <c r="F57" s="24">
        <f t="shared" si="3"/>
        <v>1.1780021253985122</v>
      </c>
      <c r="G57" s="24"/>
      <c r="I57" s="9">
        <v>5.77</v>
      </c>
      <c r="J57" s="24">
        <f t="shared" si="43"/>
        <v>0.26026161479476767</v>
      </c>
      <c r="K57" s="9">
        <v>1.85</v>
      </c>
      <c r="L57" s="9">
        <v>3.8</v>
      </c>
      <c r="M57" s="24">
        <f t="shared" si="4"/>
        <v>0.48684210526315796</v>
      </c>
      <c r="N57" s="9">
        <v>2.2599999999999998</v>
      </c>
      <c r="O57" s="9">
        <v>3</v>
      </c>
      <c r="P57" s="1">
        <v>2716</v>
      </c>
      <c r="Q57" s="27">
        <f t="shared" si="5"/>
        <v>151</v>
      </c>
      <c r="R57" s="1">
        <v>2339</v>
      </c>
      <c r="S57" s="27">
        <f t="shared" si="6"/>
        <v>117</v>
      </c>
      <c r="U57" s="27">
        <f t="shared" si="36"/>
        <v>0</v>
      </c>
      <c r="V57">
        <v>1252</v>
      </c>
      <c r="W57" s="27">
        <f t="shared" si="37"/>
        <v>38.369598528961077</v>
      </c>
      <c r="Y57">
        <v>1593</v>
      </c>
      <c r="Z57">
        <v>0.2</v>
      </c>
      <c r="AA57" s="30">
        <f>IF(X57&lt;&gt;"",(((X57/Hoja3!$F$10)/Z57)/E57),(((Y57/Hoja3!$F$11)/Z57)/E57))</f>
        <v>4.2266974448778152</v>
      </c>
      <c r="AB57">
        <v>715</v>
      </c>
      <c r="AF57">
        <v>1354</v>
      </c>
      <c r="AJ57" s="14">
        <v>13089</v>
      </c>
      <c r="AK57" s="30">
        <f t="shared" si="38"/>
        <v>695.48352816153033</v>
      </c>
      <c r="AL57" s="35">
        <f t="shared" si="39"/>
        <v>11735</v>
      </c>
      <c r="AM57" s="30">
        <f t="shared" si="40"/>
        <v>623.53878852284799</v>
      </c>
      <c r="AN57" s="35">
        <f t="shared" si="41"/>
        <v>10679</v>
      </c>
      <c r="AO57" s="36">
        <f t="shared" si="42"/>
        <v>567.42826780021255</v>
      </c>
    </row>
    <row r="58" spans="1:43" x14ac:dyDescent="0.25">
      <c r="A58" t="s">
        <v>11</v>
      </c>
      <c r="B58">
        <v>0</v>
      </c>
      <c r="C58" s="3">
        <v>16249</v>
      </c>
      <c r="D58" s="9">
        <v>14.68</v>
      </c>
      <c r="E58" s="9">
        <v>16.82</v>
      </c>
      <c r="F58" s="24">
        <f t="shared" si="3"/>
        <v>1.1457765667574933</v>
      </c>
      <c r="G58" s="24"/>
      <c r="I58" s="9">
        <v>4.84</v>
      </c>
      <c r="J58" s="24">
        <f t="shared" si="43"/>
        <v>0.28775267538644472</v>
      </c>
      <c r="K58" s="9">
        <v>3.47</v>
      </c>
      <c r="L58" s="9">
        <v>2.25</v>
      </c>
      <c r="M58" s="24">
        <f t="shared" si="4"/>
        <v>1.5422222222222224</v>
      </c>
      <c r="N58" s="9"/>
      <c r="O58" s="9">
        <v>3</v>
      </c>
      <c r="P58" s="1">
        <v>2048</v>
      </c>
      <c r="Q58" s="27">
        <f t="shared" si="5"/>
        <v>147</v>
      </c>
      <c r="R58" s="1">
        <v>1821</v>
      </c>
      <c r="S58" s="27">
        <f t="shared" si="6"/>
        <v>92</v>
      </c>
      <c r="U58" s="27">
        <f t="shared" si="36"/>
        <v>0</v>
      </c>
      <c r="V58">
        <v>1190</v>
      </c>
      <c r="W58" s="27">
        <f t="shared" si="37"/>
        <v>36.469506589028498</v>
      </c>
      <c r="X58">
        <v>248</v>
      </c>
      <c r="Z58">
        <v>1.1000000000000001</v>
      </c>
      <c r="AA58" s="30">
        <f>IF(X58&lt;&gt;"",(((X58/Hoja3!$F$10)/Z58)/E58),(((Y58/Hoja3!$F$11)/Z58)/E58))</f>
        <v>0.24370829689173651</v>
      </c>
      <c r="AF58">
        <v>1775</v>
      </c>
      <c r="AJ58" s="14">
        <v>8277</v>
      </c>
      <c r="AK58" s="30">
        <f t="shared" si="38"/>
        <v>563.82833787465938</v>
      </c>
      <c r="AL58" s="35">
        <f t="shared" si="39"/>
        <v>6502</v>
      </c>
      <c r="AM58" s="30">
        <f t="shared" si="40"/>
        <v>442.91553133514986</v>
      </c>
      <c r="AN58" s="35">
        <f t="shared" si="41"/>
        <v>7444</v>
      </c>
      <c r="AO58" s="36">
        <f t="shared" si="42"/>
        <v>507.08446866485014</v>
      </c>
      <c r="AQ58" t="s">
        <v>48</v>
      </c>
    </row>
    <row r="59" spans="1:43" x14ac:dyDescent="0.25">
      <c r="A59" t="s">
        <v>11</v>
      </c>
      <c r="B59">
        <v>0</v>
      </c>
      <c r="C59" s="3">
        <v>16235</v>
      </c>
      <c r="D59" s="9">
        <v>15.39</v>
      </c>
      <c r="E59" s="9">
        <v>18.600000000000001</v>
      </c>
      <c r="F59" s="24">
        <f t="shared" si="3"/>
        <v>1.2085769980506824</v>
      </c>
      <c r="G59" s="24"/>
      <c r="I59" s="9">
        <v>5.87</v>
      </c>
      <c r="J59" s="24">
        <f t="shared" si="43"/>
        <v>0.31559139784946233</v>
      </c>
      <c r="K59" s="9">
        <v>2.23</v>
      </c>
      <c r="L59" s="9">
        <v>3.23</v>
      </c>
      <c r="M59" s="24">
        <f t="shared" si="4"/>
        <v>0.69040247678018574</v>
      </c>
      <c r="N59" s="9">
        <v>2.13</v>
      </c>
      <c r="O59" s="9">
        <v>3</v>
      </c>
      <c r="P59" s="1">
        <v>1736</v>
      </c>
      <c r="Q59" s="27">
        <f t="shared" si="5"/>
        <v>116</v>
      </c>
      <c r="R59" s="1">
        <v>2436</v>
      </c>
      <c r="S59" s="27">
        <f t="shared" si="6"/>
        <v>122</v>
      </c>
      <c r="U59" s="27">
        <f t="shared" si="36"/>
        <v>0</v>
      </c>
      <c r="V59">
        <v>1020</v>
      </c>
      <c r="W59" s="27">
        <f t="shared" si="37"/>
        <v>31.259577076310141</v>
      </c>
      <c r="X59">
        <v>385</v>
      </c>
      <c r="Z59">
        <v>1.8</v>
      </c>
      <c r="AA59" s="30">
        <f>IF(X59&lt;&gt;"",(((X59/Hoja3!$F$10)/Z59)/E59),(((Y59/Hoja3!$F$11)/Z59)/E59))</f>
        <v>0.20908004778972519</v>
      </c>
      <c r="AF59">
        <v>1083</v>
      </c>
      <c r="AJ59" s="14">
        <v>8330</v>
      </c>
      <c r="AK59" s="30">
        <f t="shared" si="38"/>
        <v>541.26055880441845</v>
      </c>
      <c r="AL59" s="35">
        <f t="shared" si="39"/>
        <v>7247</v>
      </c>
      <c r="AM59" s="30">
        <f t="shared" si="40"/>
        <v>470.89018843404807</v>
      </c>
      <c r="AN59" s="35">
        <f t="shared" si="41"/>
        <v>7882</v>
      </c>
      <c r="AO59" s="36">
        <f t="shared" si="42"/>
        <v>512.15074723846647</v>
      </c>
      <c r="AQ59" t="s">
        <v>48</v>
      </c>
    </row>
    <row r="60" spans="1:43" x14ac:dyDescent="0.25">
      <c r="A60" t="s">
        <v>11</v>
      </c>
      <c r="B60">
        <v>0</v>
      </c>
      <c r="C60" s="3">
        <v>16229</v>
      </c>
      <c r="D60" s="9">
        <v>26.71</v>
      </c>
      <c r="E60" s="9">
        <v>25.13</v>
      </c>
      <c r="F60" s="24">
        <f t="shared" si="3"/>
        <v>0.94084612504679888</v>
      </c>
      <c r="G60" s="24"/>
      <c r="I60" s="9">
        <v>8.99</v>
      </c>
      <c r="J60" s="24">
        <f t="shared" si="43"/>
        <v>0.35773975328292879</v>
      </c>
      <c r="K60" s="9">
        <v>2.7</v>
      </c>
      <c r="L60" s="9">
        <v>3.9</v>
      </c>
      <c r="M60" s="24">
        <f t="shared" si="4"/>
        <v>0.6923076923076924</v>
      </c>
      <c r="N60" s="9">
        <v>2.2999999999999998</v>
      </c>
      <c r="O60" s="9">
        <v>3</v>
      </c>
      <c r="P60" s="1">
        <v>2073</v>
      </c>
      <c r="Q60" s="27">
        <f t="shared" si="5"/>
        <v>80</v>
      </c>
      <c r="R60" s="1">
        <v>2003</v>
      </c>
      <c r="S60" s="27">
        <f t="shared" si="6"/>
        <v>101</v>
      </c>
      <c r="U60" s="27">
        <f t="shared" si="36"/>
        <v>0</v>
      </c>
      <c r="V60">
        <v>2380</v>
      </c>
      <c r="W60" s="27">
        <f t="shared" si="37"/>
        <v>72.939013178056996</v>
      </c>
      <c r="Y60">
        <v>1712</v>
      </c>
      <c r="Z60">
        <v>3</v>
      </c>
      <c r="AA60" s="30">
        <f>IF(X60&lt;&gt;"",(((X60/Hoja3!$F$10)/Z60)/E60),(((Y60/Hoja3!$F$11)/Z60)/E60))</f>
        <v>0.26715978870656898</v>
      </c>
      <c r="AB60">
        <v>400</v>
      </c>
      <c r="AF60">
        <v>1822</v>
      </c>
      <c r="AJ60" s="14">
        <v>12857</v>
      </c>
      <c r="AK60" s="30">
        <f t="shared" si="38"/>
        <v>481.35529764133281</v>
      </c>
      <c r="AL60" s="35">
        <f t="shared" si="39"/>
        <v>11035</v>
      </c>
      <c r="AM60" s="30">
        <f t="shared" si="40"/>
        <v>413.14114563833766</v>
      </c>
      <c r="AN60" s="35">
        <f t="shared" si="41"/>
        <v>11303</v>
      </c>
      <c r="AO60" s="36">
        <f t="shared" si="42"/>
        <v>423.17484088356417</v>
      </c>
      <c r="AQ60" t="s">
        <v>48</v>
      </c>
    </row>
    <row r="61" spans="1:43" x14ac:dyDescent="0.25">
      <c r="A61" t="s">
        <v>11</v>
      </c>
      <c r="B61">
        <v>0</v>
      </c>
      <c r="C61" s="3">
        <v>16184</v>
      </c>
      <c r="D61" s="9">
        <v>22.93</v>
      </c>
      <c r="E61" s="9">
        <v>23.48</v>
      </c>
      <c r="F61" s="24">
        <f t="shared" si="3"/>
        <v>1.0239860444832098</v>
      </c>
      <c r="G61" s="24"/>
      <c r="I61" s="9">
        <v>8.84</v>
      </c>
      <c r="J61" s="24">
        <f t="shared" si="43"/>
        <v>0.37649063032367969</v>
      </c>
      <c r="K61" s="9">
        <v>2.2799999999999998</v>
      </c>
      <c r="L61" s="9">
        <v>2.97</v>
      </c>
      <c r="M61" s="24">
        <f t="shared" si="4"/>
        <v>0.76767676767676751</v>
      </c>
      <c r="N61" s="9">
        <v>2.62</v>
      </c>
      <c r="O61" s="9">
        <v>3</v>
      </c>
      <c r="P61" s="1">
        <v>3565</v>
      </c>
      <c r="Q61" s="27">
        <f t="shared" si="5"/>
        <v>163</v>
      </c>
      <c r="R61" s="1">
        <v>1191</v>
      </c>
      <c r="S61" s="27">
        <f t="shared" si="6"/>
        <v>60</v>
      </c>
      <c r="U61" s="27">
        <f t="shared" si="36"/>
        <v>0</v>
      </c>
      <c r="V61">
        <v>1490</v>
      </c>
      <c r="W61" s="27">
        <f t="shared" si="37"/>
        <v>45.663499846766776</v>
      </c>
      <c r="AA61" s="30" t="e">
        <f>IF(X61&lt;&gt;"",(((X61/Hoja3!$F$10)/Z61)/E61),(((Y61/Hoja3!$F$11)/Z61)/E61))</f>
        <v>#DIV/0!</v>
      </c>
      <c r="AF61">
        <v>1200</v>
      </c>
      <c r="AJ61" s="14">
        <v>8546</v>
      </c>
      <c r="AK61" s="30">
        <f t="shared" si="38"/>
        <v>372.69952027911035</v>
      </c>
      <c r="AL61" s="35">
        <f t="shared" si="39"/>
        <v>7346</v>
      </c>
      <c r="AM61" s="30">
        <f t="shared" si="40"/>
        <v>320.36633231574359</v>
      </c>
      <c r="AN61" s="35">
        <f t="shared" si="41"/>
        <v>8836</v>
      </c>
      <c r="AO61" s="36">
        <f t="shared" si="42"/>
        <v>385.34670737025732</v>
      </c>
      <c r="AQ61" t="s">
        <v>48</v>
      </c>
    </row>
    <row r="62" spans="1:43" x14ac:dyDescent="0.25">
      <c r="A62" t="s">
        <v>11</v>
      </c>
      <c r="B62">
        <v>0</v>
      </c>
      <c r="C62" s="3">
        <v>1676</v>
      </c>
      <c r="D62" s="9">
        <v>14.45</v>
      </c>
      <c r="E62" s="9">
        <v>18.649999999999999</v>
      </c>
      <c r="F62" s="24">
        <f t="shared" si="3"/>
        <v>1.2906574394463668</v>
      </c>
      <c r="G62" s="24"/>
      <c r="I62" s="9">
        <v>6.13</v>
      </c>
      <c r="J62" s="24">
        <f t="shared" si="43"/>
        <v>0.32868632707774803</v>
      </c>
      <c r="K62" s="9">
        <v>2.02</v>
      </c>
      <c r="L62" s="9">
        <v>3.22</v>
      </c>
      <c r="M62" s="24">
        <f t="shared" si="4"/>
        <v>0.62732919254658381</v>
      </c>
      <c r="N62" s="9">
        <v>2.85</v>
      </c>
      <c r="O62" s="9">
        <v>3</v>
      </c>
      <c r="P62" s="1">
        <v>3536</v>
      </c>
      <c r="Q62" s="27">
        <f t="shared" si="5"/>
        <v>253</v>
      </c>
      <c r="R62" s="1">
        <v>3316</v>
      </c>
      <c r="S62" s="27">
        <f t="shared" si="6"/>
        <v>166</v>
      </c>
      <c r="T62">
        <v>803</v>
      </c>
      <c r="U62" s="27">
        <f t="shared" si="36"/>
        <v>55.570934256055367</v>
      </c>
      <c r="W62" s="27">
        <f t="shared" si="37"/>
        <v>0</v>
      </c>
      <c r="X62">
        <v>2229</v>
      </c>
      <c r="Z62">
        <v>3</v>
      </c>
      <c r="AA62" s="30">
        <f>IF(X62&lt;&gt;"",(((X62/Hoja3!$F$10)/Z62)/E62),(((Y62/Hoja3!$F$11)/Z62)/E62))</f>
        <v>0.72434803802096026</v>
      </c>
      <c r="AB62">
        <v>1436</v>
      </c>
      <c r="AF62">
        <f>7344-2900</f>
        <v>4444</v>
      </c>
      <c r="AG62">
        <v>2900</v>
      </c>
      <c r="AJ62" s="14">
        <f>20978-1072</f>
        <v>19906</v>
      </c>
      <c r="AK62" s="30">
        <f t="shared" si="38"/>
        <v>1377.5778546712804</v>
      </c>
      <c r="AL62" s="35">
        <f t="shared" si="39"/>
        <v>15462</v>
      </c>
      <c r="AM62" s="30">
        <f t="shared" si="40"/>
        <v>1070.0346020761247</v>
      </c>
      <c r="AN62" s="35">
        <f t="shared" si="41"/>
        <v>10994</v>
      </c>
      <c r="AO62" s="36">
        <f t="shared" si="42"/>
        <v>760.83044982698971</v>
      </c>
    </row>
    <row r="63" spans="1:43" x14ac:dyDescent="0.25">
      <c r="A63" t="s">
        <v>11</v>
      </c>
      <c r="B63">
        <v>0</v>
      </c>
      <c r="C63" s="3">
        <v>16229</v>
      </c>
      <c r="D63" s="9">
        <v>25.36</v>
      </c>
      <c r="E63" s="9">
        <v>24.41</v>
      </c>
      <c r="F63" s="24">
        <f t="shared" si="3"/>
        <v>0.96253943217665616</v>
      </c>
      <c r="G63" s="24"/>
      <c r="I63" s="9">
        <v>6.47</v>
      </c>
      <c r="J63" s="24">
        <f t="shared" si="43"/>
        <v>0.26505530520278575</v>
      </c>
      <c r="K63" s="9">
        <v>2.7</v>
      </c>
      <c r="L63" s="9">
        <v>3.9</v>
      </c>
      <c r="M63" s="24">
        <f t="shared" si="4"/>
        <v>0.6923076923076924</v>
      </c>
      <c r="N63" s="9">
        <v>2.2999999999999998</v>
      </c>
      <c r="O63" s="9">
        <v>3</v>
      </c>
      <c r="P63" s="1">
        <v>3073</v>
      </c>
      <c r="Q63" s="27">
        <f t="shared" si="5"/>
        <v>123</v>
      </c>
      <c r="R63" s="1">
        <v>2003</v>
      </c>
      <c r="S63" s="27">
        <f t="shared" si="6"/>
        <v>101</v>
      </c>
      <c r="V63">
        <v>2380</v>
      </c>
      <c r="W63" s="27">
        <f t="shared" si="37"/>
        <v>72.939013178056996</v>
      </c>
      <c r="Y63">
        <v>1712</v>
      </c>
      <c r="Z63">
        <v>3.5</v>
      </c>
      <c r="AA63" s="30">
        <f>IF(X63&lt;&gt;"",(((X63/Hoja3!$F$10)/Z63)/E63),(((Y63/Hoja3!$F$11)/Z63)/E63))</f>
        <v>0.23574853948133945</v>
      </c>
      <c r="AB63">
        <v>400</v>
      </c>
      <c r="AF63">
        <v>1822</v>
      </c>
      <c r="AJ63" s="14">
        <v>12857</v>
      </c>
      <c r="AK63" s="30">
        <f t="shared" si="38"/>
        <v>506.97949526813881</v>
      </c>
      <c r="AL63" s="35">
        <f>AJ63-AF63</f>
        <v>11035</v>
      </c>
      <c r="AM63" s="30">
        <f t="shared" si="40"/>
        <v>435.13406940063095</v>
      </c>
      <c r="AN63" s="35">
        <f>AJ63-AF63-T63--V63-X63-Y63-AB63</f>
        <v>11303</v>
      </c>
      <c r="AO63" s="36">
        <f t="shared" si="42"/>
        <v>445.70189274447949</v>
      </c>
      <c r="AQ63" t="s">
        <v>48</v>
      </c>
    </row>
    <row r="64" spans="1:43" x14ac:dyDescent="0.25">
      <c r="A64" t="s">
        <v>11</v>
      </c>
      <c r="B64">
        <v>0</v>
      </c>
      <c r="C64" s="3">
        <v>16176</v>
      </c>
      <c r="D64" s="9">
        <v>16.68</v>
      </c>
      <c r="E64" s="9">
        <v>22.04</v>
      </c>
      <c r="F64" s="24">
        <f t="shared" si="3"/>
        <v>1.3213429256594724</v>
      </c>
      <c r="G64" s="24"/>
      <c r="I64" s="9">
        <v>8.1999999999999993</v>
      </c>
      <c r="J64" s="24">
        <f t="shared" si="43"/>
        <v>0.3720508166969147</v>
      </c>
      <c r="K64" s="9">
        <v>1.84</v>
      </c>
      <c r="L64" s="9">
        <v>3.76</v>
      </c>
      <c r="M64" s="24">
        <f t="shared" si="4"/>
        <v>0.48936170212765961</v>
      </c>
      <c r="N64" s="9">
        <v>2.2799999999999998</v>
      </c>
      <c r="O64" s="9">
        <v>3</v>
      </c>
      <c r="P64" s="1">
        <v>2346</v>
      </c>
      <c r="Q64" s="27">
        <f t="shared" si="5"/>
        <v>147</v>
      </c>
      <c r="R64" s="1">
        <v>1964</v>
      </c>
      <c r="S64" s="27">
        <f t="shared" si="6"/>
        <v>99</v>
      </c>
      <c r="T64">
        <v>715</v>
      </c>
      <c r="AA64" s="30"/>
      <c r="AF64">
        <v>425</v>
      </c>
      <c r="AJ64" s="14">
        <v>8147</v>
      </c>
      <c r="AK64" s="30">
        <f t="shared" si="38"/>
        <v>488.42925659472422</v>
      </c>
      <c r="AL64" s="35">
        <f>AJ64-AF64</f>
        <v>7722</v>
      </c>
      <c r="AM64" s="30">
        <f t="shared" si="40"/>
        <v>462.9496402877698</v>
      </c>
      <c r="AN64" s="35">
        <f>AJ64-AF64-T64--V64-X64-Y64-AB64</f>
        <v>7007</v>
      </c>
      <c r="AO64" s="36">
        <f t="shared" si="42"/>
        <v>420.08393285371704</v>
      </c>
      <c r="AQ64" t="s">
        <v>48</v>
      </c>
    </row>
    <row r="65" spans="1:43" x14ac:dyDescent="0.25">
      <c r="D65" s="3"/>
      <c r="E65" s="3"/>
      <c r="F65" s="26"/>
      <c r="G65" s="26"/>
      <c r="H65" s="3"/>
      <c r="I65" s="3"/>
      <c r="J65" s="26"/>
      <c r="K65" s="3"/>
      <c r="L65" s="3"/>
      <c r="M65" s="26"/>
      <c r="N65" s="3"/>
      <c r="O65" s="3"/>
      <c r="AK65" s="30"/>
    </row>
    <row r="66" spans="1:43" x14ac:dyDescent="0.25">
      <c r="C66" s="5" t="s">
        <v>19</v>
      </c>
      <c r="D66" s="10">
        <f>MAX(D55:D64)</f>
        <v>26.71</v>
      </c>
      <c r="E66" s="10">
        <f>MAX(E55:E64)</f>
        <v>25.27</v>
      </c>
      <c r="F66" s="25">
        <f>MAX(F55:F64)</f>
        <v>1.3213429256594724</v>
      </c>
      <c r="G66" s="25">
        <f>MAX(G55:G62)</f>
        <v>0</v>
      </c>
      <c r="H66" s="10">
        <f>MAX(H55:H62)</f>
        <v>0</v>
      </c>
      <c r="I66" s="10" t="e">
        <f>MAX(J55:J63)</f>
        <v>#DIV/0!</v>
      </c>
      <c r="J66" s="25" t="e">
        <f t="shared" ref="J66:P66" si="44">MAX(J55:J64)</f>
        <v>#DIV/0!</v>
      </c>
      <c r="K66" s="10">
        <f t="shared" si="44"/>
        <v>3.47</v>
      </c>
      <c r="L66" s="10">
        <f t="shared" si="44"/>
        <v>4.21</v>
      </c>
      <c r="M66" s="25">
        <f t="shared" si="44"/>
        <v>1.5422222222222224</v>
      </c>
      <c r="N66" s="10">
        <f t="shared" si="44"/>
        <v>2.85</v>
      </c>
      <c r="O66" s="10">
        <f t="shared" si="44"/>
        <v>3</v>
      </c>
      <c r="P66" s="10">
        <f t="shared" si="44"/>
        <v>3565</v>
      </c>
      <c r="Q66" s="25">
        <f>MAX(Q55:Q63)</f>
        <v>253</v>
      </c>
      <c r="R66" s="10">
        <f>MAX(R55:R64)</f>
        <v>3567</v>
      </c>
      <c r="S66" s="25">
        <f>MAX(S55:S64)</f>
        <v>179</v>
      </c>
      <c r="AA66" s="25" t="e">
        <f>MAX(AA55:AA63)</f>
        <v>#DIV/0!</v>
      </c>
      <c r="AK66" s="25">
        <f>MAX(AK55:AK64)</f>
        <v>1377.5778546712804</v>
      </c>
      <c r="AM66" s="25">
        <f>MAX(AM55:AM64)</f>
        <v>1070.0346020761247</v>
      </c>
      <c r="AO66" s="25">
        <f>MAX(AO55:AO63)</f>
        <v>760.83044982698971</v>
      </c>
    </row>
    <row r="67" spans="1:43" x14ac:dyDescent="0.25">
      <c r="C67" s="5" t="s">
        <v>20</v>
      </c>
      <c r="D67" s="10">
        <f>MIN(D55:D64)</f>
        <v>14.45</v>
      </c>
      <c r="E67" s="10">
        <f>MIN(E55:E64)</f>
        <v>16.82</v>
      </c>
      <c r="F67" s="25">
        <f>MIN(F55:F64)</f>
        <v>0.94084612504679888</v>
      </c>
      <c r="G67" s="25">
        <f>MIN(G55:G62)</f>
        <v>0</v>
      </c>
      <c r="H67" s="10">
        <f>MIN(H55:H62)</f>
        <v>0</v>
      </c>
      <c r="I67" s="10" t="e">
        <f>MIN(J55:J63)</f>
        <v>#DIV/0!</v>
      </c>
      <c r="J67" s="25" t="e">
        <f t="shared" ref="J67:P67" si="45">MIN(J55:J64)</f>
        <v>#DIV/0!</v>
      </c>
      <c r="K67" s="10">
        <f t="shared" si="45"/>
        <v>1.7</v>
      </c>
      <c r="L67" s="10">
        <f t="shared" si="45"/>
        <v>2.25</v>
      </c>
      <c r="M67" s="25">
        <f t="shared" si="45"/>
        <v>0.46448087431693985</v>
      </c>
      <c r="N67" s="10">
        <f t="shared" si="45"/>
        <v>2.13</v>
      </c>
      <c r="O67" s="10">
        <f t="shared" si="45"/>
        <v>3</v>
      </c>
      <c r="P67" s="10">
        <f t="shared" si="45"/>
        <v>1736</v>
      </c>
      <c r="Q67" s="25">
        <f>MIN(Q55:Q63)</f>
        <v>80</v>
      </c>
      <c r="R67" s="10">
        <f>MIN(R55:R64)</f>
        <v>1191</v>
      </c>
      <c r="S67" s="25">
        <f>MIN(S55:S64)</f>
        <v>60</v>
      </c>
      <c r="AA67" s="25" t="e">
        <f>MIN(AA55:AA63)</f>
        <v>#DIV/0!</v>
      </c>
      <c r="AK67" s="25">
        <f>MIN(AK55:AK64)</f>
        <v>372.69952027911035</v>
      </c>
      <c r="AM67" s="25">
        <f>MIN(AM55:AM64)</f>
        <v>320.36633231574359</v>
      </c>
      <c r="AO67" s="25">
        <f>MIN(AO55:AO63)</f>
        <v>376.19705340699818</v>
      </c>
    </row>
    <row r="68" spans="1:43" x14ac:dyDescent="0.25">
      <c r="C68" s="5" t="s">
        <v>21</v>
      </c>
      <c r="D68" s="10">
        <f>GEOMEAN(D55:D63)</f>
        <v>19.666225585331556</v>
      </c>
      <c r="E68" s="10">
        <f>GEOMEAN(E55:E63)</f>
        <v>21.876948884773892</v>
      </c>
      <c r="F68" s="25">
        <f>GEOMEAN(F55:F63)</f>
        <v>1.1124121804588292</v>
      </c>
      <c r="G68" s="25" t="e">
        <f>GEOMEAN(G55:G63)</f>
        <v>#NUM!</v>
      </c>
      <c r="H68" s="10" t="e">
        <f>GEOMEAN(H55:H63)</f>
        <v>#NUM!</v>
      </c>
      <c r="I68" s="10" t="e">
        <f>GEOMEAN(J55:J63)</f>
        <v>#DIV/0!</v>
      </c>
      <c r="J68" s="25" t="e">
        <f t="shared" ref="J68:S68" si="46">GEOMEAN(J55:J63)</f>
        <v>#DIV/0!</v>
      </c>
      <c r="K68" s="10">
        <f t="shared" si="46"/>
        <v>2.282756301452797</v>
      </c>
      <c r="L68" s="10">
        <f t="shared" si="46"/>
        <v>3.4072825602165047</v>
      </c>
      <c r="M68" s="25">
        <f t="shared" si="46"/>
        <v>0.66996389677401658</v>
      </c>
      <c r="N68" s="10">
        <f t="shared" si="46"/>
        <v>2.4103644247087215</v>
      </c>
      <c r="O68" s="10">
        <f t="shared" si="46"/>
        <v>3</v>
      </c>
      <c r="P68" s="10">
        <f t="shared" si="46"/>
        <v>2659.753192188482</v>
      </c>
      <c r="Q68" s="25">
        <f t="shared" si="46"/>
        <v>139.88626943456302</v>
      </c>
      <c r="R68" s="10">
        <f t="shared" si="46"/>
        <v>2332.881534420389</v>
      </c>
      <c r="S68" s="25">
        <f t="shared" si="46"/>
        <v>117.22333588342781</v>
      </c>
      <c r="AA68" s="25" t="e">
        <f>GEOMEAN(AA55:AA63)</f>
        <v>#DIV/0!</v>
      </c>
      <c r="AK68" s="25">
        <f>GEOMEAN(AK55:AK63)</f>
        <v>628.33468833316681</v>
      </c>
      <c r="AM68" s="25">
        <f>GEOMEAN(AM55:AM63)</f>
        <v>519.75129696164868</v>
      </c>
      <c r="AO68" s="25">
        <f>GEOMEAN(AO55:AO63)</f>
        <v>486.41438863153371</v>
      </c>
    </row>
    <row r="70" spans="1:43" x14ac:dyDescent="0.25">
      <c r="A70" t="s">
        <v>44</v>
      </c>
      <c r="C70" s="3">
        <v>16201</v>
      </c>
      <c r="D70" s="9">
        <v>25</v>
      </c>
      <c r="E70" s="9">
        <v>27.85</v>
      </c>
      <c r="F70" s="24">
        <f>E70/D70</f>
        <v>1.1140000000000001</v>
      </c>
      <c r="G70" s="24"/>
      <c r="H70" s="9">
        <v>6.84</v>
      </c>
      <c r="I70" s="9">
        <v>10.81</v>
      </c>
      <c r="J70" s="24">
        <f>IF( H70&lt;&gt;"",H70/E70,"")</f>
        <v>0.24560143626570913</v>
      </c>
      <c r="K70" s="9">
        <v>3.09</v>
      </c>
      <c r="L70" s="9">
        <v>1.61</v>
      </c>
      <c r="M70" s="24">
        <f>IF(L70&lt;&gt;"",K70/L70,"")</f>
        <v>1.9192546583850929</v>
      </c>
      <c r="N70" s="9">
        <v>2.44</v>
      </c>
      <c r="O70" s="9">
        <v>3</v>
      </c>
      <c r="P70" s="1">
        <v>4246</v>
      </c>
      <c r="Q70" s="27">
        <f>ROUNDUP(P70/INT(D70),0)</f>
        <v>170</v>
      </c>
      <c r="R70" s="1">
        <v>1701</v>
      </c>
      <c r="S70" s="27">
        <f>ROUNDUP(R70/INT($D$2),0)</f>
        <v>86</v>
      </c>
      <c r="T70">
        <v>1256</v>
      </c>
      <c r="U70" s="27">
        <f>T70/D70</f>
        <v>50.24</v>
      </c>
      <c r="W70" s="27">
        <f>V70/$D$9</f>
        <v>0</v>
      </c>
      <c r="Y70">
        <v>1241</v>
      </c>
      <c r="Z70">
        <v>3</v>
      </c>
      <c r="AA70" s="30">
        <f>IF(X70&lt;&gt;"",(((X70/Hoja3!$F$10)/Z70)/E70),(((Y70/Hoja3!$F$11)/Z70)/E70))</f>
        <v>0.17474566128067023</v>
      </c>
      <c r="AB70">
        <v>134</v>
      </c>
      <c r="AF70">
        <v>2169</v>
      </c>
      <c r="AI70">
        <v>566</v>
      </c>
      <c r="AJ70" s="14">
        <v>15408</v>
      </c>
      <c r="AK70" s="30">
        <f>AJ70/D70</f>
        <v>616.32000000000005</v>
      </c>
      <c r="AL70" s="35">
        <f>AJ70-AF70</f>
        <v>13239</v>
      </c>
      <c r="AM70" s="30">
        <f>AL70/$D70</f>
        <v>529.55999999999995</v>
      </c>
      <c r="AN70" s="35">
        <f>AJ70-AF70-T70--V70-X70-Y70-AB70</f>
        <v>10608</v>
      </c>
      <c r="AO70" s="36">
        <f>AN70/$D70</f>
        <v>424.32</v>
      </c>
    </row>
    <row r="71" spans="1:43" x14ac:dyDescent="0.25">
      <c r="A71" t="s">
        <v>44</v>
      </c>
      <c r="C71" s="3">
        <v>16188</v>
      </c>
      <c r="D71" s="9">
        <v>36.92</v>
      </c>
      <c r="E71" s="9">
        <v>38.82</v>
      </c>
      <c r="F71" s="24">
        <f>E71/D71</f>
        <v>1.051462621885157</v>
      </c>
      <c r="G71" s="24"/>
      <c r="H71" s="9">
        <v>11.75</v>
      </c>
      <c r="I71" s="9">
        <v>14.1</v>
      </c>
      <c r="J71" s="24">
        <f>IF( H71&lt;&gt;"",H71/E71,"")</f>
        <v>0.30267903142709945</v>
      </c>
      <c r="K71" s="9">
        <v>5.25</v>
      </c>
      <c r="L71" s="9">
        <v>2.4500000000000002</v>
      </c>
      <c r="M71" s="24">
        <f>IF(L71&lt;&gt;"",K71/L71,"")</f>
        <v>2.1428571428571428</v>
      </c>
      <c r="N71" s="9"/>
      <c r="O71" s="9">
        <v>3</v>
      </c>
      <c r="P71" s="1">
        <v>9604</v>
      </c>
      <c r="Q71" s="27">
        <f>ROUNDUP(P71/INT(D71),0)</f>
        <v>267</v>
      </c>
      <c r="R71" s="1">
        <v>3069</v>
      </c>
      <c r="S71" s="27">
        <f>ROUNDUP(R71/INT($D$2),0)</f>
        <v>154</v>
      </c>
      <c r="T71">
        <v>1490</v>
      </c>
      <c r="U71" s="27">
        <f>T71/D71</f>
        <v>40.357529794149514</v>
      </c>
      <c r="W71" s="27">
        <f>V71/$D$9</f>
        <v>0</v>
      </c>
      <c r="X71">
        <v>8573</v>
      </c>
      <c r="Z71">
        <v>3</v>
      </c>
      <c r="AA71" s="30">
        <f>IF(X71&lt;&gt;"",(((X71/Hoja3!$F$10)/Z71)/E71),(((Y71/Hoja3!$F$11)/Z71)/E71))</f>
        <v>1.3384228685619721</v>
      </c>
      <c r="AJ71" s="14">
        <f>36390-3500</f>
        <v>32890</v>
      </c>
      <c r="AK71" s="30">
        <f>AJ71/D71</f>
        <v>890.84507042253517</v>
      </c>
      <c r="AL71" s="35">
        <f>AJ71-AF71</f>
        <v>32890</v>
      </c>
      <c r="AM71" s="30">
        <f>AL71/$D71</f>
        <v>890.84507042253517</v>
      </c>
      <c r="AN71" s="35">
        <f>AJ71-AF71-T71--V71-X71-Y71-AB71</f>
        <v>22827</v>
      </c>
      <c r="AO71" s="36">
        <f>AN71/$D71</f>
        <v>618.2827735644637</v>
      </c>
    </row>
    <row r="72" spans="1:43" x14ac:dyDescent="0.25">
      <c r="C72" s="3"/>
      <c r="D72" s="9"/>
      <c r="E72" s="9"/>
      <c r="F72" s="24"/>
      <c r="G72" s="24"/>
      <c r="H72" s="9"/>
      <c r="I72" s="9"/>
      <c r="J72" s="24"/>
      <c r="K72" s="9"/>
      <c r="L72" s="9"/>
      <c r="M72" s="24"/>
      <c r="N72" s="9"/>
      <c r="O72" s="9"/>
      <c r="P72" s="1"/>
      <c r="R72" s="1"/>
      <c r="AK72" s="30"/>
    </row>
    <row r="73" spans="1:43" x14ac:dyDescent="0.25">
      <c r="C73" s="5" t="s">
        <v>19</v>
      </c>
      <c r="D73" s="10">
        <f t="shared" ref="D73:S73" si="47">MAX(D70:D71)</f>
        <v>36.92</v>
      </c>
      <c r="E73" s="10">
        <f t="shared" si="47"/>
        <v>38.82</v>
      </c>
      <c r="F73" s="25">
        <f t="shared" si="47"/>
        <v>1.1140000000000001</v>
      </c>
      <c r="G73" s="25">
        <f t="shared" si="47"/>
        <v>0</v>
      </c>
      <c r="H73" s="10">
        <f t="shared" si="47"/>
        <v>11.75</v>
      </c>
      <c r="I73" s="10">
        <f t="shared" si="47"/>
        <v>14.1</v>
      </c>
      <c r="J73" s="25">
        <f t="shared" si="47"/>
        <v>0.30267903142709945</v>
      </c>
      <c r="K73" s="10">
        <f t="shared" si="47"/>
        <v>5.25</v>
      </c>
      <c r="L73" s="10">
        <f t="shared" si="47"/>
        <v>2.4500000000000002</v>
      </c>
      <c r="M73" s="25">
        <f t="shared" si="47"/>
        <v>2.1428571428571428</v>
      </c>
      <c r="N73" s="10">
        <f t="shared" si="47"/>
        <v>2.44</v>
      </c>
      <c r="O73" s="10">
        <f t="shared" si="47"/>
        <v>3</v>
      </c>
      <c r="P73" s="10">
        <f t="shared" si="47"/>
        <v>9604</v>
      </c>
      <c r="Q73" s="25">
        <f t="shared" si="47"/>
        <v>267</v>
      </c>
      <c r="R73" s="10">
        <f t="shared" si="47"/>
        <v>3069</v>
      </c>
      <c r="S73" s="25">
        <f t="shared" si="47"/>
        <v>154</v>
      </c>
      <c r="AA73" s="25">
        <f>MAX(AA70:AA71)</f>
        <v>1.3384228685619721</v>
      </c>
      <c r="AK73" s="25">
        <f>MAX(AK70:AK71)</f>
        <v>890.84507042253517</v>
      </c>
      <c r="AM73" s="25">
        <f>MAX(AM70:AM71)</f>
        <v>890.84507042253517</v>
      </c>
      <c r="AO73" s="37">
        <f>MAX(AO70:AO71)</f>
        <v>618.2827735644637</v>
      </c>
    </row>
    <row r="74" spans="1:43" x14ac:dyDescent="0.25">
      <c r="C74" s="5" t="s">
        <v>20</v>
      </c>
      <c r="D74" s="10">
        <f t="shared" ref="D74:S74" si="48">MIN(D70:D71)</f>
        <v>25</v>
      </c>
      <c r="E74" s="10">
        <f t="shared" si="48"/>
        <v>27.85</v>
      </c>
      <c r="F74" s="25">
        <f t="shared" si="48"/>
        <v>1.051462621885157</v>
      </c>
      <c r="G74" s="25">
        <f t="shared" si="48"/>
        <v>0</v>
      </c>
      <c r="H74" s="10">
        <f t="shared" si="48"/>
        <v>6.84</v>
      </c>
      <c r="I74" s="10">
        <f t="shared" si="48"/>
        <v>10.81</v>
      </c>
      <c r="J74" s="25">
        <f t="shared" si="48"/>
        <v>0.24560143626570913</v>
      </c>
      <c r="K74" s="10">
        <f t="shared" si="48"/>
        <v>3.09</v>
      </c>
      <c r="L74" s="10">
        <f t="shared" si="48"/>
        <v>1.61</v>
      </c>
      <c r="M74" s="25">
        <f t="shared" si="48"/>
        <v>1.9192546583850929</v>
      </c>
      <c r="N74" s="10">
        <f t="shared" si="48"/>
        <v>2.44</v>
      </c>
      <c r="O74" s="10">
        <f t="shared" si="48"/>
        <v>3</v>
      </c>
      <c r="P74" s="10">
        <f t="shared" si="48"/>
        <v>4246</v>
      </c>
      <c r="Q74" s="25">
        <f t="shared" si="48"/>
        <v>170</v>
      </c>
      <c r="R74" s="10">
        <f t="shared" si="48"/>
        <v>1701</v>
      </c>
      <c r="S74" s="25">
        <f t="shared" si="48"/>
        <v>86</v>
      </c>
      <c r="AA74" s="25">
        <f>MIN(AA70:AA71)</f>
        <v>0.17474566128067023</v>
      </c>
      <c r="AK74" s="25">
        <f>MIN(AK70:AK71)</f>
        <v>616.32000000000005</v>
      </c>
      <c r="AM74" s="25">
        <f>MIN(AM70:AM71)</f>
        <v>529.55999999999995</v>
      </c>
      <c r="AO74" s="37">
        <f>MIN(AO70:AO71)</f>
        <v>424.32</v>
      </c>
    </row>
    <row r="75" spans="1:43" x14ac:dyDescent="0.25">
      <c r="C75" s="5" t="s">
        <v>21</v>
      </c>
      <c r="D75" s="10">
        <f t="shared" ref="D75:S75" si="49">GEOMEAN(D70:D71)</f>
        <v>30.380915061926625</v>
      </c>
      <c r="E75" s="10">
        <f t="shared" si="49"/>
        <v>32.880647803837448</v>
      </c>
      <c r="F75" s="25">
        <f t="shared" si="49"/>
        <v>1.0822797054274209</v>
      </c>
      <c r="G75" s="25" t="e">
        <f t="shared" si="49"/>
        <v>#NUM!</v>
      </c>
      <c r="H75" s="10">
        <f t="shared" si="49"/>
        <v>8.9649316784903608</v>
      </c>
      <c r="I75" s="10">
        <f t="shared" si="49"/>
        <v>12.345890004369874</v>
      </c>
      <c r="J75" s="25">
        <f t="shared" si="49"/>
        <v>0.27265070116544599</v>
      </c>
      <c r="K75" s="10">
        <f t="shared" si="49"/>
        <v>4.0277164746292655</v>
      </c>
      <c r="L75" s="10">
        <f t="shared" si="49"/>
        <v>1.9860765342755551</v>
      </c>
      <c r="M75" s="25">
        <f t="shared" si="49"/>
        <v>2.0279764677338696</v>
      </c>
      <c r="N75" s="10">
        <f t="shared" si="49"/>
        <v>2.44</v>
      </c>
      <c r="O75" s="10">
        <f t="shared" si="49"/>
        <v>3</v>
      </c>
      <c r="P75" s="10">
        <f t="shared" si="49"/>
        <v>6385.811146596805</v>
      </c>
      <c r="Q75" s="25">
        <f t="shared" si="49"/>
        <v>213.04929007157006</v>
      </c>
      <c r="R75" s="10">
        <f t="shared" si="49"/>
        <v>2284.8126837883233</v>
      </c>
      <c r="S75" s="25">
        <f t="shared" si="49"/>
        <v>115.08257904652642</v>
      </c>
      <c r="AA75" s="25">
        <f>GEOMEAN(AA70:AA71)</f>
        <v>0.48361512511503751</v>
      </c>
      <c r="AK75" s="25">
        <f>GEOMEAN(AK70:AK71)</f>
        <v>740.97613578496373</v>
      </c>
      <c r="AM75" s="25">
        <f>GEOMEAN(AM70:AM71)</f>
        <v>686.844899153337</v>
      </c>
      <c r="AO75" s="37">
        <f>GEOMEAN(AO70:AO71)</f>
        <v>512.2008848868511</v>
      </c>
    </row>
    <row r="77" spans="1:43" x14ac:dyDescent="0.25">
      <c r="A77" t="s">
        <v>47</v>
      </c>
      <c r="C77" s="3">
        <v>16193</v>
      </c>
      <c r="D77" s="9">
        <v>16.29</v>
      </c>
      <c r="E77" s="9">
        <v>20.28</v>
      </c>
      <c r="F77" s="24">
        <f>E77/D77</f>
        <v>1.2449355432780849</v>
      </c>
      <c r="G77" s="24"/>
      <c r="H77" s="9">
        <v>7.82</v>
      </c>
      <c r="I77" s="9">
        <v>4.83</v>
      </c>
      <c r="J77" s="24">
        <f>IF( H77&lt;&gt;"",H77/E77,"")</f>
        <v>0.38560157790927019</v>
      </c>
      <c r="K77" s="9">
        <v>1.94</v>
      </c>
      <c r="L77" s="9">
        <v>2.16</v>
      </c>
      <c r="M77" s="24">
        <f>IF(L77&lt;&gt;"",K77/L77,"")</f>
        <v>0.89814814814814803</v>
      </c>
      <c r="N77" s="9">
        <v>2.16</v>
      </c>
      <c r="O77" s="9">
        <v>3</v>
      </c>
      <c r="P77" s="1">
        <v>3773</v>
      </c>
      <c r="Q77" s="27">
        <f>ROUNDUP(P77/INT(D77),0)</f>
        <v>236</v>
      </c>
      <c r="R77" s="1">
        <v>3539</v>
      </c>
      <c r="S77" s="27">
        <f>ROUNDUP(R77/INT($D$2),0)</f>
        <v>177</v>
      </c>
      <c r="U77" s="27">
        <f>T77/D77</f>
        <v>0</v>
      </c>
      <c r="V77">
        <v>1445</v>
      </c>
      <c r="W77" s="27">
        <f>V77/$D$9</f>
        <v>44.284400858106032</v>
      </c>
      <c r="X77">
        <v>2035</v>
      </c>
      <c r="Z77">
        <v>3</v>
      </c>
      <c r="AA77" s="30">
        <f>IF(X77&lt;&gt;"",(((X77/Hoja3!$F$10)/Z77)/E77),(((Y77/Hoja3!$F$11)/Z77)/E77))</f>
        <v>0.60815253122945434</v>
      </c>
      <c r="AB77">
        <v>939</v>
      </c>
      <c r="AF77">
        <v>1721</v>
      </c>
      <c r="AJ77" s="14">
        <v>13813</v>
      </c>
      <c r="AK77" s="30">
        <f>AJ77/D77</f>
        <v>847.94352363413145</v>
      </c>
      <c r="AL77" s="35">
        <f>AJ77-AF77</f>
        <v>12092</v>
      </c>
      <c r="AM77" s="30">
        <f>AL77/$D77</f>
        <v>742.29588704726825</v>
      </c>
      <c r="AN77" s="35">
        <f>AJ77-AF77-T77--V77-X77-Y77-AB77</f>
        <v>10563</v>
      </c>
      <c r="AO77" s="36">
        <f>AN77/$D77</f>
        <v>648.43462246777165</v>
      </c>
    </row>
    <row r="78" spans="1:43" x14ac:dyDescent="0.25">
      <c r="A78" t="s">
        <v>47</v>
      </c>
      <c r="C78" s="3">
        <v>1621</v>
      </c>
      <c r="D78" s="9">
        <v>11.57</v>
      </c>
      <c r="E78" s="9">
        <v>16.809999999999999</v>
      </c>
      <c r="F78" s="24">
        <f>E78/D78</f>
        <v>1.4528954191875538</v>
      </c>
      <c r="G78" s="24"/>
      <c r="H78" s="9">
        <v>6.49</v>
      </c>
      <c r="I78" s="9">
        <v>5</v>
      </c>
      <c r="J78" s="24">
        <f>IF( H78&lt;&gt;"",H78/E78,"")</f>
        <v>0.38607971445568118</v>
      </c>
      <c r="K78" s="9">
        <v>1.77</v>
      </c>
      <c r="L78" s="9">
        <v>1.77</v>
      </c>
      <c r="M78" s="24">
        <f>IF(L78&lt;&gt;"",K78/L78,"")</f>
        <v>1</v>
      </c>
      <c r="N78" s="9">
        <v>1.77</v>
      </c>
      <c r="O78" s="9">
        <v>3</v>
      </c>
      <c r="P78" s="1">
        <v>2756</v>
      </c>
      <c r="Q78" s="27">
        <f>ROUNDUP(P78/INT(D78),0)</f>
        <v>251</v>
      </c>
      <c r="R78" s="1">
        <v>2128</v>
      </c>
      <c r="S78" s="27">
        <f>ROUNDUP(R78/INT($D$2),0)</f>
        <v>107</v>
      </c>
      <c r="U78" s="27">
        <f>T78/D78</f>
        <v>0</v>
      </c>
      <c r="V78">
        <v>938</v>
      </c>
      <c r="W78" s="27">
        <f>V78/$D$9</f>
        <v>28.746552252528346</v>
      </c>
      <c r="Y78">
        <v>2672</v>
      </c>
      <c r="Z78">
        <v>2.2999999999999998</v>
      </c>
      <c r="AA78" s="30">
        <f>IF(X78&lt;&gt;"",(((X78/Hoja3!$F$10)/Z78)/E78),(((Y78/Hoja3!$F$11)/Z78)/E78))</f>
        <v>0.81305884482960611</v>
      </c>
      <c r="AB78">
        <f>398+998</f>
        <v>1396</v>
      </c>
      <c r="AF78">
        <f>5926-AI78</f>
        <v>1990</v>
      </c>
      <c r="AI78">
        <f>2300+936+700</f>
        <v>3936</v>
      </c>
      <c r="AJ78" s="14">
        <v>16844</v>
      </c>
      <c r="AK78" s="30">
        <f>AJ78/D78</f>
        <v>1455.8340535868626</v>
      </c>
      <c r="AL78" s="35">
        <f>AJ78-AF78</f>
        <v>14854</v>
      </c>
      <c r="AM78" s="30">
        <f>AL78/$D78</f>
        <v>1283.8375108038028</v>
      </c>
      <c r="AN78" s="35">
        <f>AJ78-AF78-T78--V78-X78-Y78-AB78</f>
        <v>11724</v>
      </c>
      <c r="AO78" s="36">
        <f>AN78/$D78</f>
        <v>1013.3102852203975</v>
      </c>
    </row>
    <row r="79" spans="1:43" x14ac:dyDescent="0.25">
      <c r="A79" t="s">
        <v>47</v>
      </c>
      <c r="B79">
        <v>0</v>
      </c>
      <c r="C79" s="3">
        <v>16161</v>
      </c>
      <c r="D79" s="9">
        <v>15.14</v>
      </c>
      <c r="E79" s="9">
        <v>178</v>
      </c>
      <c r="F79" s="24">
        <f>E79/D79</f>
        <v>11.756935270805812</v>
      </c>
      <c r="G79" s="24"/>
      <c r="H79" s="9">
        <v>5.64</v>
      </c>
      <c r="I79" s="9"/>
      <c r="J79" s="24">
        <f>IF( H79&lt;&gt;"",H79/E79,"")</f>
        <v>3.1685393258426967E-2</v>
      </c>
      <c r="K79" s="9">
        <v>2.95</v>
      </c>
      <c r="L79" s="9"/>
      <c r="M79" s="24" t="str">
        <f>IF(L79&lt;&gt;"",K79/L79,"")</f>
        <v/>
      </c>
      <c r="N79" s="9"/>
      <c r="O79" s="9">
        <v>3</v>
      </c>
      <c r="P79" s="1">
        <v>2710</v>
      </c>
      <c r="Q79" s="27">
        <f>ROUNDUP(P79/INT(D79),0)</f>
        <v>181</v>
      </c>
      <c r="R79" s="1">
        <f>1961+2351</f>
        <v>4312</v>
      </c>
      <c r="S79" s="27">
        <f>ROUNDUP(R79/INT($D$2),0)</f>
        <v>216</v>
      </c>
      <c r="T79">
        <v>727</v>
      </c>
      <c r="W79" s="27">
        <f>V79/$D$9</f>
        <v>0</v>
      </c>
      <c r="X79">
        <v>1591</v>
      </c>
      <c r="Z79">
        <v>3</v>
      </c>
      <c r="AA79" s="30">
        <f>IF(X79&lt;&gt;"",(((X79/Hoja3!$F$10)/Z79)/E79),(((Y79/Hoja3!$F$11)/Z79)/E79))</f>
        <v>5.4170922710248551E-2</v>
      </c>
      <c r="AB79">
        <v>1182</v>
      </c>
      <c r="AF79">
        <v>2475</v>
      </c>
      <c r="AI79">
        <v>225</v>
      </c>
      <c r="AJ79" s="14">
        <v>14180</v>
      </c>
      <c r="AK79" s="30">
        <f>AJ79/D79</f>
        <v>936.59180977542928</v>
      </c>
      <c r="AL79" s="35">
        <f>AJ79-AF79</f>
        <v>11705</v>
      </c>
      <c r="AM79" s="30">
        <f>AL79/$D79</f>
        <v>773.11756935270807</v>
      </c>
      <c r="AN79" s="35">
        <f>AJ79-AF79-T79--V79-X79-Y79-AB79</f>
        <v>8205</v>
      </c>
      <c r="AO79" s="36">
        <f>AN79/$D79</f>
        <v>541.94187582562745</v>
      </c>
      <c r="AQ79" t="s">
        <v>113</v>
      </c>
    </row>
    <row r="80" spans="1:43" x14ac:dyDescent="0.25">
      <c r="C80" s="3"/>
      <c r="D80" s="9"/>
      <c r="E80" s="9"/>
      <c r="F80" s="24"/>
      <c r="G80" s="24"/>
      <c r="H80" s="9"/>
      <c r="I80" s="9"/>
      <c r="J80" s="24"/>
      <c r="K80" s="9"/>
      <c r="L80" s="9"/>
      <c r="M80" s="24"/>
      <c r="N80" s="9"/>
      <c r="O80" s="9"/>
      <c r="P80" s="1"/>
      <c r="R80" s="1"/>
      <c r="AK80" s="30"/>
    </row>
    <row r="81" spans="3:41" x14ac:dyDescent="0.25">
      <c r="C81" s="5" t="s">
        <v>19</v>
      </c>
      <c r="D81" s="10">
        <f t="shared" ref="D81:S81" si="50">MAX(D77:D78)</f>
        <v>16.29</v>
      </c>
      <c r="E81" s="10">
        <f t="shared" si="50"/>
        <v>20.28</v>
      </c>
      <c r="F81" s="25">
        <f t="shared" si="50"/>
        <v>1.4528954191875538</v>
      </c>
      <c r="G81" s="25">
        <f t="shared" si="50"/>
        <v>0</v>
      </c>
      <c r="H81" s="10">
        <f t="shared" si="50"/>
        <v>7.82</v>
      </c>
      <c r="I81" s="10">
        <f t="shared" si="50"/>
        <v>5</v>
      </c>
      <c r="J81" s="25">
        <f t="shared" si="50"/>
        <v>0.38607971445568118</v>
      </c>
      <c r="K81" s="10">
        <f t="shared" si="50"/>
        <v>1.94</v>
      </c>
      <c r="L81" s="10">
        <f t="shared" si="50"/>
        <v>2.16</v>
      </c>
      <c r="M81" s="25">
        <f t="shared" si="50"/>
        <v>1</v>
      </c>
      <c r="N81" s="10">
        <f t="shared" si="50"/>
        <v>2.16</v>
      </c>
      <c r="O81" s="10">
        <f t="shared" si="50"/>
        <v>3</v>
      </c>
      <c r="P81" s="10">
        <f t="shared" si="50"/>
        <v>3773</v>
      </c>
      <c r="Q81" s="25">
        <f t="shared" si="50"/>
        <v>251</v>
      </c>
      <c r="R81" s="10">
        <f t="shared" si="50"/>
        <v>3539</v>
      </c>
      <c r="S81" s="25">
        <f t="shared" si="50"/>
        <v>177</v>
      </c>
      <c r="AA81" s="25">
        <f>MAX(AA77:AA78)</f>
        <v>0.81305884482960611</v>
      </c>
      <c r="AK81" s="25">
        <f>MAX(AK77:AK78)</f>
        <v>1455.8340535868626</v>
      </c>
      <c r="AM81" s="25">
        <f>MAX(AM77:AM78)</f>
        <v>1283.8375108038028</v>
      </c>
      <c r="AO81" s="37">
        <f>MAX(AO77:AO78)</f>
        <v>1013.3102852203975</v>
      </c>
    </row>
    <row r="82" spans="3:41" x14ac:dyDescent="0.25">
      <c r="C82" s="5" t="s">
        <v>20</v>
      </c>
      <c r="D82" s="10">
        <f t="shared" ref="D82:S82" si="51">MIN(D77:D78)</f>
        <v>11.57</v>
      </c>
      <c r="E82" s="10">
        <f t="shared" si="51"/>
        <v>16.809999999999999</v>
      </c>
      <c r="F82" s="25">
        <f t="shared" si="51"/>
        <v>1.2449355432780849</v>
      </c>
      <c r="G82" s="25">
        <f t="shared" si="51"/>
        <v>0</v>
      </c>
      <c r="H82" s="10">
        <f t="shared" si="51"/>
        <v>6.49</v>
      </c>
      <c r="I82" s="10">
        <f t="shared" si="51"/>
        <v>4.83</v>
      </c>
      <c r="J82" s="25">
        <f t="shared" si="51"/>
        <v>0.38560157790927019</v>
      </c>
      <c r="K82" s="10">
        <f t="shared" si="51"/>
        <v>1.77</v>
      </c>
      <c r="L82" s="10">
        <f t="shared" si="51"/>
        <v>1.77</v>
      </c>
      <c r="M82" s="25">
        <f t="shared" si="51"/>
        <v>0.89814814814814803</v>
      </c>
      <c r="N82" s="10">
        <f t="shared" si="51"/>
        <v>1.77</v>
      </c>
      <c r="O82" s="10">
        <f t="shared" si="51"/>
        <v>3</v>
      </c>
      <c r="P82" s="10">
        <f t="shared" si="51"/>
        <v>2756</v>
      </c>
      <c r="Q82" s="25">
        <f t="shared" si="51"/>
        <v>236</v>
      </c>
      <c r="R82" s="10">
        <f t="shared" si="51"/>
        <v>2128</v>
      </c>
      <c r="S82" s="25">
        <f t="shared" si="51"/>
        <v>107</v>
      </c>
      <c r="AA82" s="25">
        <f>MIN(AA77:AA78)</f>
        <v>0.60815253122945434</v>
      </c>
      <c r="AK82" s="25">
        <f>MIN(AK77:AK78)</f>
        <v>847.94352363413145</v>
      </c>
      <c r="AM82" s="25">
        <f>MIN(AM77:AM78)</f>
        <v>742.29588704726825</v>
      </c>
      <c r="AO82" s="37">
        <f>MIN(AO77:AO78)</f>
        <v>648.43462246777165</v>
      </c>
    </row>
    <row r="83" spans="3:41" x14ac:dyDescent="0.25">
      <c r="C83" s="5" t="s">
        <v>21</v>
      </c>
      <c r="D83" s="10">
        <f t="shared" ref="D83:S83" si="52">GEOMEAN(D77:D78)</f>
        <v>13.728630667331684</v>
      </c>
      <c r="E83" s="10">
        <f t="shared" si="52"/>
        <v>18.46366160868423</v>
      </c>
      <c r="F83" s="25">
        <f t="shared" si="52"/>
        <v>1.3449019101824855</v>
      </c>
      <c r="G83" s="25" t="e">
        <f t="shared" si="52"/>
        <v>#NUM!</v>
      </c>
      <c r="H83" s="10">
        <f t="shared" si="52"/>
        <v>7.1240297585004511</v>
      </c>
      <c r="I83" s="10">
        <f t="shared" si="52"/>
        <v>4.914264950122246</v>
      </c>
      <c r="J83" s="25">
        <f t="shared" si="52"/>
        <v>0.38584057211868106</v>
      </c>
      <c r="K83" s="10">
        <f t="shared" si="52"/>
        <v>1.8530515373297096</v>
      </c>
      <c r="L83" s="10">
        <f t="shared" si="52"/>
        <v>1.9553004884160388</v>
      </c>
      <c r="M83" s="25">
        <f t="shared" si="52"/>
        <v>0.94770678384622109</v>
      </c>
      <c r="N83" s="10">
        <f t="shared" si="52"/>
        <v>1.9553004884160388</v>
      </c>
      <c r="O83" s="10">
        <f t="shared" si="52"/>
        <v>3</v>
      </c>
      <c r="P83" s="10">
        <f t="shared" si="52"/>
        <v>3224.6531596436848</v>
      </c>
      <c r="Q83" s="25">
        <f t="shared" si="52"/>
        <v>243.38446951274437</v>
      </c>
      <c r="R83" s="10">
        <f t="shared" si="52"/>
        <v>2744.2652932980077</v>
      </c>
      <c r="S83" s="25">
        <f t="shared" si="52"/>
        <v>137.61903938045782</v>
      </c>
      <c r="AA83" s="25">
        <f>GEOMEAN(AA77:AA78)</f>
        <v>0.70318119608079754</v>
      </c>
      <c r="AK83" s="25">
        <f>GEOMEAN(AK77:AK78)</f>
        <v>1111.0648303429487</v>
      </c>
      <c r="AM83" s="25">
        <f>GEOMEAN(AM77:AM78)</f>
        <v>976.2106862284727</v>
      </c>
      <c r="AO83" s="37">
        <f>GEOMEAN(AO77:AO78)</f>
        <v>810.59575143199368</v>
      </c>
    </row>
    <row r="88" spans="3:41" x14ac:dyDescent="0.25">
      <c r="AJ88" s="14" t="s">
        <v>52</v>
      </c>
      <c r="AK88" s="27">
        <f>+GEOMEAN(AK2,AK9,AK10,AK11,AK12,AK13,AK14,AK15,AK26,AK27,AK28,AK37,AK38,AK47,AK48,AK55,AK56,AK57,AK58,AK59,AK60,AK61,AK65,AK62,AK65,AK70,AK71,AK77,AK78)</f>
        <v>659.21327132840622</v>
      </c>
    </row>
  </sheetData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workbookViewId="0">
      <selection activeCell="Z7" sqref="Z7"/>
    </sheetView>
  </sheetViews>
  <sheetFormatPr baseColWidth="10" defaultRowHeight="15" x14ac:dyDescent="0.25"/>
  <cols>
    <col min="1" max="1" width="8.28515625" customWidth="1"/>
    <col min="21" max="21" width="11.85546875" bestFit="1" customWidth="1"/>
  </cols>
  <sheetData>
    <row r="1" spans="1:27" ht="75" x14ac:dyDescent="0.25">
      <c r="A1" s="6" t="s">
        <v>15</v>
      </c>
      <c r="B1" s="7" t="s">
        <v>0</v>
      </c>
      <c r="C1" s="7" t="s">
        <v>1</v>
      </c>
      <c r="D1" s="7" t="s">
        <v>22</v>
      </c>
      <c r="E1" s="8" t="s">
        <v>34</v>
      </c>
      <c r="F1" s="7" t="s">
        <v>2</v>
      </c>
      <c r="G1" s="7" t="s">
        <v>3</v>
      </c>
      <c r="H1" s="8" t="s">
        <v>17</v>
      </c>
      <c r="I1" s="7" t="s">
        <v>4</v>
      </c>
      <c r="J1" s="7" t="s">
        <v>5</v>
      </c>
      <c r="K1" s="8" t="s">
        <v>18</v>
      </c>
      <c r="L1" s="7" t="s">
        <v>9</v>
      </c>
      <c r="M1" s="7" t="s">
        <v>6</v>
      </c>
      <c r="O1" s="8" t="s">
        <v>13</v>
      </c>
      <c r="P1" s="8" t="s">
        <v>14</v>
      </c>
      <c r="Q1" s="8" t="s">
        <v>35</v>
      </c>
      <c r="R1" s="8" t="s">
        <v>31</v>
      </c>
      <c r="S1" s="8" t="s">
        <v>36</v>
      </c>
      <c r="T1" s="8" t="s">
        <v>37</v>
      </c>
      <c r="U1" s="8" t="s">
        <v>38</v>
      </c>
      <c r="V1" s="8" t="s">
        <v>39</v>
      </c>
      <c r="W1" s="8" t="s">
        <v>24</v>
      </c>
      <c r="X1" s="8" t="s">
        <v>23</v>
      </c>
      <c r="Y1" s="8" t="s">
        <v>40</v>
      </c>
      <c r="Z1" s="8" t="s">
        <v>41</v>
      </c>
      <c r="AA1" s="8" t="s">
        <v>50</v>
      </c>
    </row>
    <row r="3" spans="1:27" x14ac:dyDescent="0.25">
      <c r="A3" t="s">
        <v>8</v>
      </c>
      <c r="B3" s="5">
        <v>25</v>
      </c>
      <c r="C3" s="2">
        <f>B3*1.1*Hoja1!$F$24</f>
        <v>30.48403076665986</v>
      </c>
      <c r="D3" s="2">
        <f>C3/B3</f>
        <v>1.2193612306663943</v>
      </c>
      <c r="E3" s="2" t="e">
        <f>+Hoja1!$AA$24</f>
        <v>#DIV/0!</v>
      </c>
      <c r="F3" s="5">
        <v>3</v>
      </c>
      <c r="G3" s="5">
        <v>6</v>
      </c>
      <c r="H3">
        <f>+IF(F3&lt;&gt;"",F3/G3,"")</f>
        <v>0.5</v>
      </c>
      <c r="I3" s="5">
        <v>2.2000000000000002</v>
      </c>
      <c r="J3" s="5">
        <v>4.5</v>
      </c>
      <c r="K3" s="2">
        <f>+IF(I3&lt;&gt;"",I3/J3,"")</f>
        <v>0.48888888888888893</v>
      </c>
      <c r="L3" s="5">
        <v>2.2999999999999998</v>
      </c>
      <c r="M3" s="5">
        <v>3</v>
      </c>
      <c r="O3" s="12">
        <f>B3*Hoja3!$F$6</f>
        <v>4662.856733681092</v>
      </c>
      <c r="P3" s="12">
        <f>B3*Hoja3!$F$7</f>
        <v>5448.5465146232127</v>
      </c>
      <c r="Q3" s="12">
        <f>B3*Hoja3!$F$8</f>
        <v>1500</v>
      </c>
      <c r="R3" s="12">
        <f>B3*Hoja3!$F$9</f>
        <v>2125</v>
      </c>
      <c r="S3" s="12" t="e">
        <f>E3*C3*1.8*Hoja3!$F$10</f>
        <v>#DIV/0!</v>
      </c>
      <c r="T3" s="12" t="e">
        <f>E3*C3*1.8*Hoja3!$F$11</f>
        <v>#DIV/0!</v>
      </c>
      <c r="U3" s="12" t="e">
        <f>E3*C3*M3*Hoja3!$F$10</f>
        <v>#DIV/0!</v>
      </c>
      <c r="V3" s="12" t="e">
        <f>E3*C3*M3*Hoja3!$F$11</f>
        <v>#DIV/0!</v>
      </c>
      <c r="W3" s="12">
        <v>1800</v>
      </c>
      <c r="X3" s="12">
        <v>1900</v>
      </c>
      <c r="Y3" s="12"/>
      <c r="Z3" s="12" t="e">
        <f>O3+P3+Q3+R3+S3+W3+X3+Y3</f>
        <v>#DIV/0!</v>
      </c>
      <c r="AA3" s="2" t="e">
        <f>Z3/B3</f>
        <v>#DIV/0!</v>
      </c>
    </row>
    <row r="5" spans="1:27" x14ac:dyDescent="0.25">
      <c r="A5" t="s">
        <v>8</v>
      </c>
      <c r="B5">
        <v>29</v>
      </c>
      <c r="C5" s="2">
        <f>B5*1.1*Hoja1!$F$24</f>
        <v>35.361475689325438</v>
      </c>
      <c r="D5" s="2">
        <f>C5/B5</f>
        <v>1.2193612306663943</v>
      </c>
      <c r="E5" s="2" t="e">
        <f>+Hoja1!$AA$24</f>
        <v>#DIV/0!</v>
      </c>
      <c r="G5">
        <v>7.47</v>
      </c>
      <c r="I5">
        <v>2.4900000000000002</v>
      </c>
      <c r="J5">
        <v>4.3099999999999996</v>
      </c>
      <c r="L5">
        <v>2.1</v>
      </c>
      <c r="M5">
        <v>3</v>
      </c>
      <c r="O5" s="12">
        <f>B5*Hoja3!$F$6</f>
        <v>5408.9138110700669</v>
      </c>
      <c r="P5" s="12">
        <f>B5*Hoja3!$F$7</f>
        <v>6320.3139569629275</v>
      </c>
      <c r="Q5" s="12">
        <f>B5*Hoja3!$F$8</f>
        <v>1740</v>
      </c>
      <c r="R5" s="12">
        <f>B5*Hoja3!$F$9</f>
        <v>2465</v>
      </c>
      <c r="S5" s="12" t="e">
        <f>E5*C5*1.8*Hoja3!$F$10</f>
        <v>#DIV/0!</v>
      </c>
      <c r="T5" s="12" t="e">
        <f>E5*C5*1.8*Hoja3!$F$11</f>
        <v>#DIV/0!</v>
      </c>
      <c r="U5" s="12" t="e">
        <f>E5*C5*M5*Hoja3!$F$10</f>
        <v>#DIV/0!</v>
      </c>
      <c r="V5" s="12" t="e">
        <f>E5*C5*M5*Hoja3!$F$11</f>
        <v>#DIV/0!</v>
      </c>
      <c r="W5">
        <f>16*100</f>
        <v>1600</v>
      </c>
      <c r="X5">
        <f>(2*L5*Hoja3!$F$40)+Hoja3!$F$19*85+Hoja3!$F$20*85+Hoja3!$F$21*85+Hoja3!$F$22*65+450</f>
        <v>2281</v>
      </c>
      <c r="Z5" s="12" t="e">
        <f>O5+P5+Q5+R5+S5+W5+X5+Y5</f>
        <v>#DIV/0!</v>
      </c>
      <c r="AA5" s="2" t="e">
        <f>Z5/B5</f>
        <v>#DIV/0!</v>
      </c>
    </row>
    <row r="7" spans="1:27" x14ac:dyDescent="0.25">
      <c r="A7" t="s">
        <v>8</v>
      </c>
      <c r="B7">
        <v>19.420000000000002</v>
      </c>
      <c r="C7" s="2">
        <f>B7*1.1*Hoja1!$F$24</f>
        <v>23.679995099541379</v>
      </c>
      <c r="D7" s="2">
        <f>C7/B7</f>
        <v>1.2193612306663943</v>
      </c>
      <c r="E7" s="2" t="e">
        <f>+Hoja1!$AA$24</f>
        <v>#DIV/0!</v>
      </c>
      <c r="F7">
        <v>2.11</v>
      </c>
      <c r="G7">
        <v>4.9800000000000004</v>
      </c>
      <c r="I7">
        <v>2.75</v>
      </c>
      <c r="J7">
        <v>3.68</v>
      </c>
      <c r="L7">
        <v>1.99</v>
      </c>
      <c r="M7">
        <v>3</v>
      </c>
      <c r="O7" s="12">
        <f>B7*Hoja3!$F$6</f>
        <v>3622.1071107234729</v>
      </c>
      <c r="P7" s="12">
        <f>B7*Hoja3!$F$7</f>
        <v>4232.4309325593122</v>
      </c>
      <c r="Q7" s="12">
        <f>B7*Hoja3!$F$8</f>
        <v>1165.2</v>
      </c>
      <c r="R7" s="12">
        <f>B7*Hoja3!$F$9</f>
        <v>1650.7</v>
      </c>
      <c r="S7" s="12" t="e">
        <f>E7*C7*1.8*Hoja3!$F$10</f>
        <v>#DIV/0!</v>
      </c>
      <c r="T7" s="12" t="e">
        <f>E7*C7*1.8*Hoja3!$F$11</f>
        <v>#DIV/0!</v>
      </c>
      <c r="U7" s="12" t="e">
        <f>E7*C7*M7*Hoja3!$F$10</f>
        <v>#DIV/0!</v>
      </c>
      <c r="V7" s="12" t="e">
        <f>E7*C7*M7*Hoja3!$F$11</f>
        <v>#DIV/0!</v>
      </c>
      <c r="W7">
        <f>16*100</f>
        <v>1600</v>
      </c>
      <c r="X7">
        <f>(2*L7*Hoja3!$F$40)+Hoja3!$F$19*85+Hoja3!$F$20*85+Hoja3!$F$21*85+Hoja3!$F$22*65+450</f>
        <v>2241.4</v>
      </c>
      <c r="Z7" s="12" t="e">
        <f>O7+P7+Q7+R7+S7+W7+X7+Y7</f>
        <v>#DIV/0!</v>
      </c>
      <c r="AA7" s="2" t="e">
        <f>Z7/B7</f>
        <v>#DIV/0!</v>
      </c>
    </row>
    <row r="10" spans="1:27" x14ac:dyDescent="0.25">
      <c r="P10" s="11"/>
      <c r="Q10" s="11" t="e">
        <f>SUM(O7:Q7)+U7</f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56"/>
  <sheetViews>
    <sheetView workbookViewId="0">
      <selection activeCell="C21" sqref="C21"/>
    </sheetView>
  </sheetViews>
  <sheetFormatPr baseColWidth="10" defaultRowHeight="15" x14ac:dyDescent="0.25"/>
  <cols>
    <col min="4" max="4" width="29.42578125" bestFit="1" customWidth="1"/>
  </cols>
  <sheetData>
    <row r="3" spans="4:14" x14ac:dyDescent="0.25">
      <c r="E3" s="22" t="s">
        <v>7</v>
      </c>
      <c r="F3" s="22" t="s">
        <v>8</v>
      </c>
      <c r="G3" s="22" t="s">
        <v>42</v>
      </c>
      <c r="H3" s="22" t="s">
        <v>43</v>
      </c>
      <c r="I3" s="22" t="s">
        <v>10</v>
      </c>
      <c r="J3" s="22" t="s">
        <v>11</v>
      </c>
      <c r="K3" s="22" t="s">
        <v>44</v>
      </c>
      <c r="L3" s="22" t="s">
        <v>47</v>
      </c>
    </row>
    <row r="4" spans="4:14" x14ac:dyDescent="0.25">
      <c r="D4" t="s">
        <v>54</v>
      </c>
      <c r="E4">
        <v>1.1000000000000001</v>
      </c>
      <c r="F4">
        <v>1.1000000000000001</v>
      </c>
      <c r="G4">
        <v>1.1000000000000001</v>
      </c>
      <c r="H4">
        <v>1.1000000000000001</v>
      </c>
      <c r="I4">
        <v>1.1000000000000001</v>
      </c>
      <c r="J4">
        <v>1.1000000000000001</v>
      </c>
      <c r="K4">
        <v>1.1000000000000001</v>
      </c>
      <c r="L4">
        <v>1.1000000000000001</v>
      </c>
    </row>
    <row r="5" spans="4:14" x14ac:dyDescent="0.25">
      <c r="D5" t="s">
        <v>53</v>
      </c>
      <c r="E5">
        <v>0.15</v>
      </c>
      <c r="F5">
        <v>0.15</v>
      </c>
      <c r="G5">
        <v>0.15</v>
      </c>
      <c r="H5">
        <v>0.15</v>
      </c>
      <c r="I5">
        <v>0.15</v>
      </c>
      <c r="J5">
        <v>0.15</v>
      </c>
      <c r="K5">
        <v>0.15</v>
      </c>
      <c r="L5">
        <v>0.15</v>
      </c>
    </row>
    <row r="6" spans="4:14" x14ac:dyDescent="0.25">
      <c r="D6" s="7" t="s">
        <v>92</v>
      </c>
      <c r="E6" s="21">
        <f>E4*Hoja1!Q7+E5*Hoja1!Q5</f>
        <v>134.68290583030421</v>
      </c>
      <c r="F6" s="21">
        <f>F4*Hoja1!Q24+F5*Hoja1!Q22</f>
        <v>186.5142693472437</v>
      </c>
      <c r="G6" s="21">
        <f>G4*Hoja1!Q35+Hoja3!G5*Hoja1!Q33</f>
        <v>253.5983646510864</v>
      </c>
      <c r="H6" s="21">
        <f>H4*Hoja1!Q45+Hoja3!H5*Hoja1!Q43</f>
        <v>207.26269185710984</v>
      </c>
      <c r="I6" s="21">
        <f>I4*Hoja1!Q53+Hoja3!I5*Hoja1!Q51</f>
        <v>165.75246167963076</v>
      </c>
      <c r="J6" s="21">
        <f>J4*Hoja1!Q68+Hoja3!J5*Hoja1!Q66</f>
        <v>191.82489637801933</v>
      </c>
      <c r="K6" s="21">
        <f>K4*Hoja1!Q75+Hoja3!K5*Hoja1!Q73</f>
        <v>274.40421907872707</v>
      </c>
      <c r="L6" s="21">
        <f>L4*Hoja1!Q83+Hoja3!L5*Hoja1!Q81</f>
        <v>305.37291646401883</v>
      </c>
    </row>
    <row r="7" spans="4:14" x14ac:dyDescent="0.25">
      <c r="D7" s="7" t="s">
        <v>93</v>
      </c>
      <c r="E7" s="21">
        <f>E4*Hoja1!S7+E5*Hoja1!S5</f>
        <v>98.742458008132999</v>
      </c>
      <c r="F7" s="21">
        <f>F4*Hoja1!S24+Hoja3!F5*Hoja1!S22</f>
        <v>217.94186058492852</v>
      </c>
      <c r="G7" s="21">
        <f>G4*Hoja1!S35+Hoja3!G5*Hoja1!S33</f>
        <v>116.81110102767749</v>
      </c>
      <c r="H7" s="21">
        <f>H4*Hoja1!S45+Hoja3!H5*Hoja1!S43</f>
        <v>192.38743867081743</v>
      </c>
      <c r="I7" s="21">
        <f>I4*Hoja1!S53+Hoja3!I5*Hoja1!S51</f>
        <v>252.74173632611397</v>
      </c>
      <c r="J7" s="21">
        <f>J4*Hoja1!S68+Hoja3!J5*Hoja1!S66</f>
        <v>155.79566947177059</v>
      </c>
      <c r="K7" s="21">
        <f>K4*Hoja1!S75+Hoja3!K5*Hoja1!S73</f>
        <v>149.69083695117908</v>
      </c>
      <c r="L7" s="21">
        <f>L4*Hoja1!S83+Hoja3!L5*Hoja1!S81</f>
        <v>177.93094331850364</v>
      </c>
    </row>
    <row r="8" spans="4:14" x14ac:dyDescent="0.25">
      <c r="D8" s="7" t="s">
        <v>94</v>
      </c>
      <c r="E8">
        <v>60</v>
      </c>
      <c r="F8">
        <v>60</v>
      </c>
      <c r="G8">
        <v>60</v>
      </c>
      <c r="H8">
        <v>60</v>
      </c>
      <c r="I8">
        <v>60</v>
      </c>
      <c r="J8">
        <v>60</v>
      </c>
      <c r="K8">
        <v>60</v>
      </c>
      <c r="L8">
        <v>60</v>
      </c>
    </row>
    <row r="9" spans="4:14" x14ac:dyDescent="0.25">
      <c r="D9" s="7" t="s">
        <v>95</v>
      </c>
      <c r="E9">
        <v>85</v>
      </c>
      <c r="F9">
        <v>85</v>
      </c>
      <c r="G9">
        <v>85</v>
      </c>
      <c r="H9">
        <v>85</v>
      </c>
      <c r="I9">
        <v>85</v>
      </c>
      <c r="J9">
        <v>85</v>
      </c>
      <c r="K9">
        <v>85</v>
      </c>
      <c r="L9">
        <v>85</v>
      </c>
    </row>
    <row r="10" spans="4:14" x14ac:dyDescent="0.25">
      <c r="D10" s="7" t="s">
        <v>96</v>
      </c>
      <c r="E10">
        <v>55</v>
      </c>
      <c r="F10">
        <v>55</v>
      </c>
      <c r="G10">
        <v>55</v>
      </c>
      <c r="H10">
        <v>55</v>
      </c>
      <c r="I10">
        <v>55</v>
      </c>
      <c r="J10">
        <v>55</v>
      </c>
      <c r="K10">
        <v>55</v>
      </c>
      <c r="L10">
        <v>55</v>
      </c>
    </row>
    <row r="11" spans="4:14" x14ac:dyDescent="0.25">
      <c r="D11" s="7" t="s">
        <v>97</v>
      </c>
      <c r="E11">
        <v>85</v>
      </c>
      <c r="F11">
        <v>85</v>
      </c>
      <c r="G11">
        <v>85</v>
      </c>
      <c r="H11">
        <v>85</v>
      </c>
      <c r="I11">
        <v>85</v>
      </c>
      <c r="J11">
        <v>85</v>
      </c>
      <c r="K11">
        <v>85</v>
      </c>
      <c r="L11">
        <v>85</v>
      </c>
    </row>
    <row r="12" spans="4:14" ht="75" x14ac:dyDescent="0.25">
      <c r="D12" s="7" t="s">
        <v>24</v>
      </c>
      <c r="E12" s="20" t="s">
        <v>100</v>
      </c>
      <c r="F12" s="20" t="s">
        <v>100</v>
      </c>
      <c r="G12" s="20" t="s">
        <v>100</v>
      </c>
      <c r="H12" s="4" t="s">
        <v>89</v>
      </c>
      <c r="I12" s="20" t="s">
        <v>89</v>
      </c>
      <c r="J12" s="20" t="s">
        <v>91</v>
      </c>
      <c r="K12" s="20" t="s">
        <v>91</v>
      </c>
      <c r="L12" s="20" t="s">
        <v>91</v>
      </c>
      <c r="N12" s="20" t="s">
        <v>101</v>
      </c>
    </row>
    <row r="13" spans="4:14" x14ac:dyDescent="0.25">
      <c r="D13" s="7" t="s">
        <v>23</v>
      </c>
      <c r="H13" t="s">
        <v>90</v>
      </c>
    </row>
    <row r="14" spans="4:14" ht="45" x14ac:dyDescent="0.25">
      <c r="D14" s="7" t="s">
        <v>98</v>
      </c>
      <c r="E14" s="20" t="s">
        <v>99</v>
      </c>
      <c r="F14" s="20" t="s">
        <v>99</v>
      </c>
      <c r="G14" s="20" t="s">
        <v>99</v>
      </c>
      <c r="H14" s="20" t="s">
        <v>99</v>
      </c>
      <c r="I14" s="20" t="s">
        <v>99</v>
      </c>
      <c r="J14" s="20" t="s">
        <v>99</v>
      </c>
      <c r="K14" s="20" t="s">
        <v>99</v>
      </c>
      <c r="L14" s="20" t="s">
        <v>99</v>
      </c>
    </row>
    <row r="15" spans="4:14" x14ac:dyDescent="0.25">
      <c r="D15" s="7" t="s">
        <v>40</v>
      </c>
    </row>
    <row r="18" spans="3:14" x14ac:dyDescent="0.25">
      <c r="C18" s="38" t="s">
        <v>116</v>
      </c>
      <c r="D18" s="7" t="s">
        <v>64</v>
      </c>
      <c r="E18">
        <v>2</v>
      </c>
      <c r="F18" t="s">
        <v>59</v>
      </c>
      <c r="G18" t="s">
        <v>60</v>
      </c>
      <c r="H18" t="s">
        <v>60</v>
      </c>
      <c r="I18" t="s">
        <v>61</v>
      </c>
      <c r="J18">
        <v>10</v>
      </c>
      <c r="K18">
        <v>10</v>
      </c>
      <c r="L18">
        <v>10</v>
      </c>
    </row>
    <row r="19" spans="3:14" x14ac:dyDescent="0.25">
      <c r="D19" s="7" t="s">
        <v>63</v>
      </c>
      <c r="E19">
        <v>2</v>
      </c>
      <c r="F19">
        <v>2</v>
      </c>
      <c r="G19">
        <v>3</v>
      </c>
      <c r="H19">
        <v>2</v>
      </c>
      <c r="I19">
        <v>2</v>
      </c>
      <c r="J19">
        <v>2</v>
      </c>
      <c r="K19">
        <v>2</v>
      </c>
      <c r="L19">
        <v>2</v>
      </c>
      <c r="N19" t="s">
        <v>102</v>
      </c>
    </row>
    <row r="20" spans="3:14" x14ac:dyDescent="0.25">
      <c r="D20" s="7" t="s">
        <v>62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N20" t="s">
        <v>102</v>
      </c>
    </row>
    <row r="21" spans="3:14" x14ac:dyDescent="0.25">
      <c r="D21" s="7" t="s">
        <v>57</v>
      </c>
      <c r="E21">
        <v>2</v>
      </c>
      <c r="F21">
        <v>2</v>
      </c>
      <c r="G21">
        <v>3</v>
      </c>
      <c r="H21">
        <v>2</v>
      </c>
      <c r="I21">
        <v>3</v>
      </c>
      <c r="J21">
        <v>2</v>
      </c>
      <c r="K21">
        <v>3</v>
      </c>
      <c r="L21">
        <v>2</v>
      </c>
      <c r="N21" t="s">
        <v>102</v>
      </c>
    </row>
    <row r="22" spans="3:14" x14ac:dyDescent="0.25">
      <c r="D22" s="7" t="s">
        <v>56</v>
      </c>
      <c r="E22">
        <v>2</v>
      </c>
      <c r="F22">
        <v>10</v>
      </c>
      <c r="G22">
        <v>6</v>
      </c>
      <c r="H22">
        <v>6</v>
      </c>
      <c r="I22">
        <v>6</v>
      </c>
      <c r="J22">
        <v>6</v>
      </c>
      <c r="K22" t="s">
        <v>58</v>
      </c>
      <c r="L22">
        <v>6</v>
      </c>
      <c r="N22" t="s">
        <v>103</v>
      </c>
    </row>
    <row r="25" spans="3:14" x14ac:dyDescent="0.25">
      <c r="C25" t="s">
        <v>65</v>
      </c>
      <c r="D25" s="7" t="s">
        <v>66</v>
      </c>
      <c r="E25">
        <v>1800</v>
      </c>
      <c r="F25">
        <v>1800</v>
      </c>
      <c r="G25">
        <v>1800</v>
      </c>
      <c r="H25">
        <v>1800</v>
      </c>
      <c r="I25">
        <v>1800</v>
      </c>
      <c r="J25">
        <v>1800</v>
      </c>
      <c r="K25">
        <v>1800</v>
      </c>
      <c r="L25">
        <v>1800</v>
      </c>
    </row>
    <row r="26" spans="3:14" x14ac:dyDescent="0.25">
      <c r="D26" s="7" t="s">
        <v>67</v>
      </c>
      <c r="E26">
        <v>3800</v>
      </c>
      <c r="F26">
        <v>3500</v>
      </c>
      <c r="G26">
        <v>3800</v>
      </c>
      <c r="H26">
        <v>3500</v>
      </c>
      <c r="I26">
        <v>3500</v>
      </c>
      <c r="J26">
        <v>3800</v>
      </c>
      <c r="K26">
        <v>3800</v>
      </c>
      <c r="L26">
        <v>3800</v>
      </c>
    </row>
    <row r="27" spans="3:14" x14ac:dyDescent="0.25">
      <c r="D27" s="7" t="s">
        <v>68</v>
      </c>
      <c r="E27">
        <v>4200</v>
      </c>
      <c r="F27">
        <v>4200</v>
      </c>
      <c r="G27">
        <v>4200</v>
      </c>
      <c r="H27">
        <v>4200</v>
      </c>
      <c r="I27">
        <v>4200</v>
      </c>
      <c r="J27">
        <v>4200</v>
      </c>
      <c r="K27">
        <v>4200</v>
      </c>
      <c r="L27">
        <v>4200</v>
      </c>
    </row>
    <row r="28" spans="3:14" x14ac:dyDescent="0.25">
      <c r="D28" s="7" t="s">
        <v>69</v>
      </c>
      <c r="E28">
        <v>650</v>
      </c>
      <c r="F28">
        <v>650</v>
      </c>
      <c r="G28">
        <v>650</v>
      </c>
      <c r="H28">
        <v>650</v>
      </c>
      <c r="I28">
        <v>650</v>
      </c>
      <c r="J28">
        <v>650</v>
      </c>
      <c r="K28">
        <v>650</v>
      </c>
      <c r="L28">
        <v>650</v>
      </c>
    </row>
    <row r="29" spans="3:14" x14ac:dyDescent="0.25">
      <c r="C29" t="s">
        <v>70</v>
      </c>
      <c r="D29" s="7" t="s">
        <v>66</v>
      </c>
      <c r="E29">
        <v>1200</v>
      </c>
      <c r="F29">
        <v>1200</v>
      </c>
      <c r="G29">
        <v>1200</v>
      </c>
      <c r="H29">
        <v>1200</v>
      </c>
      <c r="I29">
        <v>1200</v>
      </c>
      <c r="J29">
        <v>1200</v>
      </c>
      <c r="K29">
        <v>1200</v>
      </c>
      <c r="L29">
        <v>1200</v>
      </c>
    </row>
    <row r="30" spans="3:14" x14ac:dyDescent="0.25">
      <c r="D30" s="7" t="s">
        <v>67</v>
      </c>
      <c r="E30">
        <v>800</v>
      </c>
      <c r="F30">
        <v>800</v>
      </c>
      <c r="G30">
        <v>800</v>
      </c>
      <c r="H30">
        <v>800</v>
      </c>
      <c r="I30">
        <v>800</v>
      </c>
      <c r="J30">
        <v>800</v>
      </c>
      <c r="K30">
        <v>800</v>
      </c>
      <c r="L30">
        <v>800</v>
      </c>
    </row>
    <row r="31" spans="3:14" x14ac:dyDescent="0.25">
      <c r="D31" s="7" t="s">
        <v>68</v>
      </c>
      <c r="E31">
        <v>2800</v>
      </c>
      <c r="F31">
        <v>2800</v>
      </c>
      <c r="G31">
        <v>2800</v>
      </c>
      <c r="H31">
        <v>2800</v>
      </c>
      <c r="I31">
        <v>2800</v>
      </c>
      <c r="J31">
        <v>2800</v>
      </c>
      <c r="K31">
        <v>2800</v>
      </c>
      <c r="L31">
        <v>2800</v>
      </c>
    </row>
    <row r="32" spans="3:14" x14ac:dyDescent="0.25">
      <c r="D32" s="7" t="s">
        <v>69</v>
      </c>
      <c r="E32">
        <v>650</v>
      </c>
      <c r="F32">
        <v>650</v>
      </c>
      <c r="G32">
        <v>650</v>
      </c>
      <c r="H32">
        <v>650</v>
      </c>
      <c r="I32">
        <v>650</v>
      </c>
      <c r="J32">
        <v>650</v>
      </c>
      <c r="K32">
        <v>650</v>
      </c>
      <c r="L32">
        <v>650</v>
      </c>
    </row>
    <row r="33" spans="3:12" ht="30" x14ac:dyDescent="0.25">
      <c r="C33" t="s">
        <v>71</v>
      </c>
      <c r="D33" s="19" t="s">
        <v>72</v>
      </c>
      <c r="E33">
        <v>1000</v>
      </c>
      <c r="F33">
        <v>1000</v>
      </c>
      <c r="G33">
        <v>1000</v>
      </c>
      <c r="H33">
        <v>1000</v>
      </c>
      <c r="I33">
        <v>1000</v>
      </c>
      <c r="J33">
        <v>1000</v>
      </c>
      <c r="K33">
        <v>1000</v>
      </c>
      <c r="L33">
        <v>1000</v>
      </c>
    </row>
    <row r="34" spans="3:12" x14ac:dyDescent="0.25">
      <c r="D34" s="7" t="s">
        <v>73</v>
      </c>
      <c r="E34">
        <v>350</v>
      </c>
      <c r="F34">
        <v>350</v>
      </c>
      <c r="G34">
        <v>350</v>
      </c>
      <c r="H34">
        <v>350</v>
      </c>
      <c r="I34">
        <v>350</v>
      </c>
      <c r="J34">
        <v>350</v>
      </c>
      <c r="K34">
        <v>350</v>
      </c>
      <c r="L34">
        <v>350</v>
      </c>
    </row>
    <row r="37" spans="3:12" x14ac:dyDescent="0.25">
      <c r="C37" t="s">
        <v>76</v>
      </c>
      <c r="D37" t="s">
        <v>75</v>
      </c>
      <c r="E37">
        <v>250</v>
      </c>
      <c r="F37">
        <v>250</v>
      </c>
      <c r="G37">
        <v>250</v>
      </c>
      <c r="H37">
        <v>250</v>
      </c>
      <c r="I37">
        <v>250</v>
      </c>
      <c r="J37">
        <v>250</v>
      </c>
      <c r="K37">
        <v>250</v>
      </c>
      <c r="L37">
        <v>250</v>
      </c>
    </row>
    <row r="38" spans="3:12" x14ac:dyDescent="0.25">
      <c r="D38" t="s">
        <v>74</v>
      </c>
      <c r="E38">
        <v>250</v>
      </c>
      <c r="F38">
        <v>250</v>
      </c>
      <c r="G38">
        <v>250</v>
      </c>
      <c r="H38">
        <v>250</v>
      </c>
      <c r="I38">
        <v>250</v>
      </c>
      <c r="J38">
        <v>250</v>
      </c>
      <c r="K38">
        <v>250</v>
      </c>
      <c r="L38">
        <v>250</v>
      </c>
    </row>
    <row r="40" spans="3:12" x14ac:dyDescent="0.25">
      <c r="C40" t="s">
        <v>55</v>
      </c>
      <c r="D40" t="s">
        <v>77</v>
      </c>
      <c r="E40">
        <v>180</v>
      </c>
      <c r="F40">
        <v>180</v>
      </c>
      <c r="G40">
        <v>180</v>
      </c>
      <c r="H40">
        <v>180</v>
      </c>
      <c r="I40">
        <v>180</v>
      </c>
      <c r="J40">
        <v>180</v>
      </c>
      <c r="K40">
        <v>180</v>
      </c>
      <c r="L40">
        <v>180</v>
      </c>
    </row>
    <row r="41" spans="3:12" x14ac:dyDescent="0.25">
      <c r="D41" t="s">
        <v>78</v>
      </c>
      <c r="E41">
        <v>250</v>
      </c>
      <c r="F41">
        <v>250</v>
      </c>
      <c r="G41">
        <v>250</v>
      </c>
      <c r="H41">
        <v>250</v>
      </c>
      <c r="I41">
        <v>250</v>
      </c>
      <c r="J41">
        <v>250</v>
      </c>
      <c r="K41">
        <v>250</v>
      </c>
      <c r="L41">
        <v>250</v>
      </c>
    </row>
    <row r="42" spans="3:12" x14ac:dyDescent="0.25">
      <c r="D42" t="s">
        <v>79</v>
      </c>
      <c r="E42">
        <v>310</v>
      </c>
      <c r="F42">
        <v>310</v>
      </c>
      <c r="G42">
        <v>310</v>
      </c>
      <c r="H42">
        <v>310</v>
      </c>
      <c r="I42">
        <v>310</v>
      </c>
      <c r="J42">
        <v>310</v>
      </c>
      <c r="K42">
        <v>310</v>
      </c>
      <c r="L42">
        <v>310</v>
      </c>
    </row>
    <row r="44" spans="3:12" ht="45" x14ac:dyDescent="0.25">
      <c r="C44" t="s">
        <v>80</v>
      </c>
      <c r="D44" t="s">
        <v>81</v>
      </c>
      <c r="E44" s="20" t="s">
        <v>84</v>
      </c>
      <c r="F44" s="20" t="s">
        <v>84</v>
      </c>
      <c r="G44" s="20" t="s">
        <v>84</v>
      </c>
      <c r="H44" s="20" t="s">
        <v>84</v>
      </c>
      <c r="I44" s="20" t="s">
        <v>84</v>
      </c>
      <c r="J44" s="20" t="s">
        <v>84</v>
      </c>
      <c r="K44" s="20" t="s">
        <v>84</v>
      </c>
      <c r="L44" s="20" t="s">
        <v>84</v>
      </c>
    </row>
    <row r="45" spans="3:12" ht="45" x14ac:dyDescent="0.25">
      <c r="D45" t="s">
        <v>82</v>
      </c>
      <c r="E45" s="20" t="s">
        <v>83</v>
      </c>
      <c r="F45" s="20" t="s">
        <v>83</v>
      </c>
      <c r="G45" s="20" t="s">
        <v>83</v>
      </c>
      <c r="H45" s="20" t="s">
        <v>83</v>
      </c>
      <c r="I45" s="20" t="s">
        <v>83</v>
      </c>
      <c r="J45" s="20" t="s">
        <v>83</v>
      </c>
      <c r="K45" s="20" t="s">
        <v>83</v>
      </c>
      <c r="L45" s="20" t="s">
        <v>83</v>
      </c>
    </row>
    <row r="47" spans="3:12" x14ac:dyDescent="0.25">
      <c r="C47" t="s">
        <v>85</v>
      </c>
      <c r="D47" t="s">
        <v>86</v>
      </c>
      <c r="E47">
        <v>350</v>
      </c>
      <c r="F47">
        <v>450</v>
      </c>
      <c r="G47">
        <v>450</v>
      </c>
      <c r="H47">
        <v>450</v>
      </c>
      <c r="I47">
        <v>450</v>
      </c>
      <c r="J47">
        <v>450</v>
      </c>
      <c r="K47">
        <v>450</v>
      </c>
      <c r="L47">
        <v>450</v>
      </c>
    </row>
    <row r="48" spans="3:12" x14ac:dyDescent="0.25">
      <c r="D48" t="s">
        <v>87</v>
      </c>
      <c r="E48">
        <v>600</v>
      </c>
      <c r="F48">
        <v>600</v>
      </c>
      <c r="G48">
        <v>600</v>
      </c>
      <c r="H48">
        <v>600</v>
      </c>
      <c r="I48">
        <v>600</v>
      </c>
      <c r="J48">
        <v>600</v>
      </c>
      <c r="K48">
        <v>600</v>
      </c>
      <c r="L48">
        <v>600</v>
      </c>
    </row>
    <row r="49" spans="3:12" x14ac:dyDescent="0.25">
      <c r="D49" t="s">
        <v>88</v>
      </c>
      <c r="E49">
        <v>750</v>
      </c>
      <c r="F49">
        <v>750</v>
      </c>
      <c r="G49">
        <v>750</v>
      </c>
      <c r="H49">
        <v>750</v>
      </c>
      <c r="I49">
        <v>750</v>
      </c>
      <c r="J49">
        <v>750</v>
      </c>
      <c r="K49">
        <v>750</v>
      </c>
      <c r="L49">
        <v>750</v>
      </c>
    </row>
    <row r="51" spans="3:12" x14ac:dyDescent="0.25">
      <c r="C51" t="s">
        <v>108</v>
      </c>
      <c r="D51" t="s">
        <v>109</v>
      </c>
      <c r="E51">
        <v>350</v>
      </c>
      <c r="F51">
        <v>350</v>
      </c>
      <c r="G51">
        <v>350</v>
      </c>
      <c r="H51">
        <v>350</v>
      </c>
      <c r="I51">
        <v>350</v>
      </c>
      <c r="J51">
        <v>350</v>
      </c>
      <c r="K51">
        <v>350</v>
      </c>
      <c r="L51">
        <v>350</v>
      </c>
    </row>
    <row r="52" spans="3:12" x14ac:dyDescent="0.25">
      <c r="D52" t="s">
        <v>110</v>
      </c>
      <c r="E52">
        <v>35</v>
      </c>
      <c r="F52">
        <v>35</v>
      </c>
      <c r="G52">
        <v>35</v>
      </c>
      <c r="H52">
        <v>35</v>
      </c>
      <c r="I52">
        <v>35</v>
      </c>
      <c r="J52">
        <v>35</v>
      </c>
      <c r="K52">
        <v>35</v>
      </c>
      <c r="L52">
        <v>35</v>
      </c>
    </row>
    <row r="54" spans="3:12" x14ac:dyDescent="0.25">
      <c r="C54" t="s">
        <v>104</v>
      </c>
      <c r="D54" t="s">
        <v>106</v>
      </c>
      <c r="E54">
        <v>35</v>
      </c>
      <c r="F54">
        <v>35</v>
      </c>
      <c r="G54">
        <v>35</v>
      </c>
      <c r="H54">
        <v>35</v>
      </c>
      <c r="I54">
        <v>35</v>
      </c>
      <c r="J54">
        <v>35</v>
      </c>
      <c r="K54">
        <v>35</v>
      </c>
      <c r="L54">
        <v>35</v>
      </c>
    </row>
    <row r="55" spans="3:12" x14ac:dyDescent="0.25">
      <c r="D55" t="s">
        <v>105</v>
      </c>
      <c r="E55">
        <v>250</v>
      </c>
      <c r="F55">
        <v>250</v>
      </c>
      <c r="G55">
        <v>250</v>
      </c>
      <c r="H55">
        <v>250</v>
      </c>
      <c r="I55">
        <v>250</v>
      </c>
      <c r="J55">
        <v>250</v>
      </c>
      <c r="K55">
        <v>250</v>
      </c>
      <c r="L55">
        <v>250</v>
      </c>
    </row>
    <row r="56" spans="3:12" x14ac:dyDescent="0.25">
      <c r="D56" t="s">
        <v>107</v>
      </c>
      <c r="E56">
        <v>350</v>
      </c>
      <c r="F56">
        <v>350</v>
      </c>
      <c r="G56">
        <v>350</v>
      </c>
      <c r="H56">
        <v>350</v>
      </c>
      <c r="I56">
        <v>350</v>
      </c>
      <c r="J56">
        <v>350</v>
      </c>
      <c r="K56">
        <v>350</v>
      </c>
      <c r="L56">
        <v>350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</dc:creator>
  <cp:lastModifiedBy>cps</cp:lastModifiedBy>
  <cp:lastPrinted>2017-05-06T18:59:25Z</cp:lastPrinted>
  <dcterms:created xsi:type="dcterms:W3CDTF">2017-05-01T16:38:03Z</dcterms:created>
  <dcterms:modified xsi:type="dcterms:W3CDTF">2017-05-08T08:31:22Z</dcterms:modified>
</cp:coreProperties>
</file>