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50" windowHeight="12120" tabRatio="295" activeTab="0"/>
  </bookViews>
  <sheets>
    <sheet name="superf. viviendas" sheetId="1" r:id="rId1"/>
    <sheet name="superf. iluminacion" sheetId="2" r:id="rId2"/>
  </sheets>
  <definedNames>
    <definedName name="_xlnm.Print_Area" localSheetId="1">'superf. iluminacion'!$A$1:$I$43</definedName>
    <definedName name="_xlnm.Print_Area" localSheetId="0">'superf. viviendas'!$A$1:$V$48</definedName>
  </definedNames>
  <calcPr fullCalcOnLoad="1"/>
</workbook>
</file>

<file path=xl/sharedStrings.xml><?xml version="1.0" encoding="utf-8"?>
<sst xmlns="http://schemas.openxmlformats.org/spreadsheetml/2006/main" count="233" uniqueCount="133">
  <si>
    <t>Primera</t>
  </si>
  <si>
    <t>Vivienda</t>
  </si>
  <si>
    <t>tipo A</t>
  </si>
  <si>
    <t>Viv.1</t>
  </si>
  <si>
    <t>VIVIENDAS / LOCALES</t>
  </si>
  <si>
    <t>SUPERFICIE VIVIENDAS / LOCALES</t>
  </si>
  <si>
    <t>Planta</t>
  </si>
  <si>
    <t>Viv./Local</t>
  </si>
  <si>
    <t>Tipo</t>
  </si>
  <si>
    <t>Nº Dormitorios</t>
  </si>
  <si>
    <t>Identificación</t>
  </si>
  <si>
    <t>Sup. Terraza Descubierta</t>
  </si>
  <si>
    <t>Sup. Construida Total por Planta</t>
  </si>
  <si>
    <t>Sup. Computable</t>
  </si>
  <si>
    <t>Sup. Computable por Planta</t>
  </si>
  <si>
    <t>Viv.2</t>
  </si>
  <si>
    <t>Viv.3</t>
  </si>
  <si>
    <t>Viv.4</t>
  </si>
  <si>
    <t>Viv.5</t>
  </si>
  <si>
    <t>Viv.6</t>
  </si>
  <si>
    <t>Viv.7</t>
  </si>
  <si>
    <t>Viv.8</t>
  </si>
  <si>
    <t>Viv.9</t>
  </si>
  <si>
    <t>tipo B</t>
  </si>
  <si>
    <t>tipo C</t>
  </si>
  <si>
    <t>Segunda</t>
  </si>
  <si>
    <t>tipo D</t>
  </si>
  <si>
    <t>Tercera</t>
  </si>
  <si>
    <t>Cuarta</t>
  </si>
  <si>
    <t>Viv.10</t>
  </si>
  <si>
    <t>Viv.11</t>
  </si>
  <si>
    <t>Viv.12</t>
  </si>
  <si>
    <t>Viv.13</t>
  </si>
  <si>
    <t>Viv.14</t>
  </si>
  <si>
    <t>Viv.15</t>
  </si>
  <si>
    <t>Viv.16</t>
  </si>
  <si>
    <t>Quinta</t>
  </si>
  <si>
    <t>garaje</t>
  </si>
  <si>
    <t>local</t>
  </si>
  <si>
    <t>sup. Util</t>
  </si>
  <si>
    <t>dormitorio 2</t>
  </si>
  <si>
    <t>dormitorio 1</t>
  </si>
  <si>
    <t>dormitorio 3</t>
  </si>
  <si>
    <t>estar comedor</t>
  </si>
  <si>
    <t>cocina</t>
  </si>
  <si>
    <t>sótano 1</t>
  </si>
  <si>
    <t>sup.util / 20</t>
  </si>
  <si>
    <t>num. Plazas</t>
  </si>
  <si>
    <t>sótano 2</t>
  </si>
  <si>
    <t>num máx.plazas</t>
  </si>
  <si>
    <t>num min.plazas</t>
  </si>
  <si>
    <t>sup.util / 30</t>
  </si>
  <si>
    <t>sup. Const.</t>
  </si>
  <si>
    <t>trasteros</t>
  </si>
  <si>
    <t>alto ventana</t>
  </si>
  <si>
    <t>ancho ventana</t>
  </si>
  <si>
    <t>sup. Útil</t>
  </si>
  <si>
    <t>suma estancias calle</t>
  </si>
  <si>
    <t xml:space="preserve">CUADRO DE SUPERFICIES </t>
  </si>
  <si>
    <t>abertura ventana</t>
  </si>
  <si>
    <t>superficie ventana</t>
  </si>
  <si>
    <t>10% iluminación art. 2.5.HD/91</t>
  </si>
  <si>
    <t>30% ventilación art. 2.6.HD/91</t>
  </si>
  <si>
    <t xml:space="preserve"> Sui</t>
  </si>
  <si>
    <t xml:space="preserve"> Sci</t>
  </si>
  <si>
    <t>St</t>
  </si>
  <si>
    <t>STc</t>
  </si>
  <si>
    <t>Sup. Total terraza</t>
  </si>
  <si>
    <t>STT=St+STc</t>
  </si>
  <si>
    <t>STd</t>
  </si>
  <si>
    <t>Sup. Útil Total (incluida terraza)</t>
  </si>
  <si>
    <t>Sut=Sui+STT</t>
  </si>
  <si>
    <t>Sup. Construida Total (incluida terraza)</t>
  </si>
  <si>
    <t>Sct=Sci+STT</t>
  </si>
  <si>
    <t>Sup. Construida con p.p. E.C.</t>
  </si>
  <si>
    <t>SCppEC</t>
  </si>
  <si>
    <t>Su vpo</t>
  </si>
  <si>
    <t>SECT</t>
  </si>
  <si>
    <t>Sup.construida total con E.C.</t>
  </si>
  <si>
    <t>Sup. Elementos Comunes Total por Planta</t>
  </si>
  <si>
    <t>SCTvlcEC</t>
  </si>
  <si>
    <t>SCTv</t>
  </si>
  <si>
    <t>coef. SCTvlcEC/SUTVL vpo</t>
  </si>
  <si>
    <t>SCTvl</t>
  </si>
  <si>
    <t>SUT</t>
  </si>
  <si>
    <t>Sup. Útil  (50% sup. cubierta y abierta)</t>
  </si>
  <si>
    <t>coef. SECT/SCTVL</t>
  </si>
  <si>
    <t>tipo E</t>
  </si>
  <si>
    <t>tipo F</t>
  </si>
  <si>
    <t>tipo G</t>
  </si>
  <si>
    <t>Viv.17</t>
  </si>
  <si>
    <t>Sup. Balcón Cubierto no cerrado</t>
  </si>
  <si>
    <t>Sup. Balcón cubierto y cerrado</t>
  </si>
  <si>
    <t>Sup. Útil Interior (sin balcón)</t>
  </si>
  <si>
    <t>Sup. Construida Interior (sin balcón)</t>
  </si>
  <si>
    <t>SCT vvda+locales</t>
  </si>
  <si>
    <t>SCT vvdas</t>
  </si>
  <si>
    <t>SCT locales</t>
  </si>
  <si>
    <t>SUT vvdas</t>
  </si>
  <si>
    <t>SUT locales</t>
  </si>
  <si>
    <t>SUT vvdas+locales</t>
  </si>
  <si>
    <t>Baja</t>
  </si>
  <si>
    <t>Cubierta</t>
  </si>
  <si>
    <t>caseton</t>
  </si>
  <si>
    <t>Sótano 1</t>
  </si>
  <si>
    <t>plazas</t>
  </si>
  <si>
    <t>Sótano 2</t>
  </si>
  <si>
    <t>SCT plazas</t>
  </si>
  <si>
    <t>PEM</t>
  </si>
  <si>
    <t>PEM TOTAL</t>
  </si>
  <si>
    <t>PEMT</t>
  </si>
  <si>
    <t>C.C.</t>
  </si>
  <si>
    <t>vivienda+E.c</t>
  </si>
  <si>
    <t>locales</t>
  </si>
  <si>
    <t>sup</t>
  </si>
  <si>
    <t>coef</t>
  </si>
  <si>
    <t>Mpm=</t>
  </si>
  <si>
    <t>tipo municipio</t>
  </si>
  <si>
    <t>altura edificio</t>
  </si>
  <si>
    <t>tipo de calle</t>
  </si>
  <si>
    <t>tipo de edificio</t>
  </si>
  <si>
    <t>Edificios de viviendas plurifamiliares. Bloques de edificios</t>
  </si>
  <si>
    <t>Edificios de viviendas unifamiliares aisladas, pareadas o en fila (adosados)</t>
  </si>
  <si>
    <t>tipo H</t>
  </si>
  <si>
    <t>tipo I</t>
  </si>
  <si>
    <t>tipo J</t>
  </si>
  <si>
    <t>tipo E/H</t>
  </si>
  <si>
    <t>tipo F/I</t>
  </si>
  <si>
    <t>tipo G/J</t>
  </si>
  <si>
    <t xml:space="preserve">tipologia vivienda </t>
  </si>
  <si>
    <t>sup construida</t>
  </si>
  <si>
    <t>tipo de suelo</t>
  </si>
  <si>
    <t>S.S.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</si>
</sst>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0.0000"/>
    <numFmt numFmtId="165" formatCode="0.00\ &quot;m2&quot;"/>
    <numFmt numFmtId="166" formatCode="0,000.00\ &quot;m2&quot;"/>
    <numFmt numFmtId="167" formatCode="#,###\ &quot;m2&quot;"/>
    <numFmt numFmtId="168" formatCode="#,##0.00\ &quot;m2&quot;"/>
    <numFmt numFmtId="169" formatCode="#,##0.00\ &quot;€/m2&quot;"/>
    <numFmt numFmtId="170" formatCode="#,##0.00\ &quot;pta&quot;"/>
    <numFmt numFmtId="171" formatCode="#,##0.00\ [$€-1]"/>
    <numFmt numFmtId="172" formatCode="#,##0\ [$€-1]"/>
  </numFmts>
  <fonts count="10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b/>
      <sz val="10"/>
      <color indexed="52"/>
      <name val="Arial"/>
      <family val="2"/>
    </font>
    <font>
      <sz val="12"/>
      <name val="Arial"/>
      <family val="2"/>
    </font>
    <font>
      <sz val="12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2" borderId="3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2" fontId="1" fillId="0" borderId="2" xfId="0" applyNumberFormat="1" applyFont="1" applyFill="1" applyBorder="1" applyAlignment="1">
      <alignment horizontal="right"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/>
    </xf>
    <xf numFmtId="9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Alignment="1">
      <alignment/>
    </xf>
    <xf numFmtId="0" fontId="0" fillId="0" borderId="12" xfId="0" applyBorder="1" applyAlignment="1">
      <alignment/>
    </xf>
    <xf numFmtId="2" fontId="0" fillId="3" borderId="0" xfId="0" applyNumberFormat="1" applyFill="1" applyAlignment="1">
      <alignment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right" vertical="center" wrapText="1"/>
    </xf>
    <xf numFmtId="2" fontId="1" fillId="0" borderId="22" xfId="0" applyNumberFormat="1" applyFont="1" applyFill="1" applyBorder="1" applyAlignment="1">
      <alignment horizontal="right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2" borderId="24" xfId="0" applyFill="1" applyBorder="1" applyAlignment="1">
      <alignment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21" xfId="0" applyNumberFormat="1" applyFont="1" applyFill="1" applyBorder="1" applyAlignment="1">
      <alignment horizontal="right" vertical="center" wrapText="1"/>
    </xf>
    <xf numFmtId="2" fontId="1" fillId="0" borderId="19" xfId="0" applyNumberFormat="1" applyFont="1" applyFill="1" applyBorder="1" applyAlignment="1">
      <alignment horizontal="right"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0" fillId="0" borderId="26" xfId="0" applyNumberFormat="1" applyBorder="1" applyAlignment="1">
      <alignment/>
    </xf>
    <xf numFmtId="2" fontId="0" fillId="2" borderId="24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2" fontId="0" fillId="2" borderId="27" xfId="0" applyNumberFormat="1" applyFill="1" applyBorder="1" applyAlignment="1">
      <alignment/>
    </xf>
    <xf numFmtId="2" fontId="0" fillId="2" borderId="28" xfId="0" applyNumberFormat="1" applyFill="1" applyBorder="1" applyAlignment="1">
      <alignment/>
    </xf>
    <xf numFmtId="2" fontId="0" fillId="0" borderId="28" xfId="0" applyNumberFormat="1" applyBorder="1" applyAlignment="1">
      <alignment/>
    </xf>
    <xf numFmtId="0" fontId="0" fillId="2" borderId="0" xfId="0" applyFill="1" applyBorder="1" applyAlignment="1">
      <alignment wrapText="1"/>
    </xf>
    <xf numFmtId="0" fontId="0" fillId="2" borderId="29" xfId="0" applyFill="1" applyBorder="1" applyAlignment="1">
      <alignment wrapText="1"/>
    </xf>
    <xf numFmtId="2" fontId="0" fillId="0" borderId="30" xfId="0" applyNumberFormat="1" applyBorder="1" applyAlignment="1">
      <alignment/>
    </xf>
    <xf numFmtId="2" fontId="0" fillId="3" borderId="8" xfId="0" applyNumberFormat="1" applyFill="1" applyBorder="1" applyAlignment="1">
      <alignment/>
    </xf>
    <xf numFmtId="2" fontId="0" fillId="3" borderId="31" xfId="0" applyNumberFormat="1" applyFill="1" applyBorder="1" applyAlignment="1">
      <alignment/>
    </xf>
    <xf numFmtId="2" fontId="0" fillId="3" borderId="32" xfId="0" applyNumberFormat="1" applyFill="1" applyBorder="1" applyAlignment="1">
      <alignment/>
    </xf>
    <xf numFmtId="2" fontId="0" fillId="3" borderId="29" xfId="0" applyNumberFormat="1" applyFill="1" applyBorder="1" applyAlignment="1">
      <alignment/>
    </xf>
    <xf numFmtId="0" fontId="0" fillId="2" borderId="33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2" borderId="5" xfId="0" applyFill="1" applyBorder="1" applyAlignment="1">
      <alignment wrapText="1"/>
    </xf>
    <xf numFmtId="9" fontId="0" fillId="2" borderId="24" xfId="0" applyNumberFormat="1" applyFill="1" applyBorder="1" applyAlignment="1">
      <alignment wrapText="1"/>
    </xf>
    <xf numFmtId="2" fontId="0" fillId="3" borderId="5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4" fillId="0" borderId="0" xfId="0" applyFont="1" applyAlignment="1">
      <alignment horizont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2" fontId="1" fillId="0" borderId="37" xfId="0" applyNumberFormat="1" applyFont="1" applyBorder="1" applyAlignment="1">
      <alignment horizontal="right" vertical="center" wrapText="1"/>
    </xf>
    <xf numFmtId="2" fontId="1" fillId="3" borderId="13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38" xfId="0" applyNumberFormat="1" applyFont="1" applyFill="1" applyBorder="1" applyAlignment="1">
      <alignment horizontal="right" vertical="center" wrapText="1"/>
    </xf>
    <xf numFmtId="2" fontId="1" fillId="0" borderId="38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39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1" fillId="0" borderId="36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center"/>
    </xf>
    <xf numFmtId="0" fontId="0" fillId="0" borderId="0" xfId="0" applyAlignment="1">
      <alignment horizontal="right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2" fontId="1" fillId="0" borderId="41" xfId="0" applyNumberFormat="1" applyFont="1" applyBorder="1" applyAlignment="1">
      <alignment horizontal="right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41" xfId="0" applyNumberFormat="1" applyFont="1" applyFill="1" applyBorder="1" applyAlignment="1">
      <alignment horizontal="right" vertical="center" wrapText="1"/>
    </xf>
    <xf numFmtId="2" fontId="5" fillId="2" borderId="36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2" fontId="5" fillId="2" borderId="36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 quotePrefix="1">
      <alignment/>
    </xf>
    <xf numFmtId="2" fontId="2" fillId="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2" borderId="38" xfId="0" applyNumberFormat="1" applyFont="1" applyFill="1" applyBorder="1" applyAlignment="1">
      <alignment horizontal="center" vertical="center" wrapText="1"/>
    </xf>
    <xf numFmtId="2" fontId="1" fillId="2" borderId="42" xfId="0" applyNumberFormat="1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2" fontId="1" fillId="2" borderId="43" xfId="0" applyNumberFormat="1" applyFont="1" applyFill="1" applyBorder="1" applyAlignment="1">
      <alignment horizontal="right" vertical="center" wrapText="1"/>
    </xf>
    <xf numFmtId="2" fontId="1" fillId="2" borderId="11" xfId="0" applyNumberFormat="1" applyFont="1" applyFill="1" applyBorder="1" applyAlignment="1">
      <alignment horizontal="right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2" fontId="5" fillId="2" borderId="2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right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/>
    </xf>
    <xf numFmtId="2" fontId="0" fillId="0" borderId="38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2" borderId="36" xfId="0" applyFont="1" applyFill="1" applyBorder="1" applyAlignment="1">
      <alignment/>
    </xf>
    <xf numFmtId="0" fontId="0" fillId="0" borderId="36" xfId="0" applyFont="1" applyBorder="1" applyAlignment="1">
      <alignment/>
    </xf>
    <xf numFmtId="2" fontId="5" fillId="2" borderId="18" xfId="0" applyNumberFormat="1" applyFont="1" applyFill="1" applyBorder="1" applyAlignment="1">
      <alignment horizontal="right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0" fillId="0" borderId="39" xfId="0" applyNumberFormat="1" applyFill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 horizontal="right" vertical="center" wrapText="1"/>
    </xf>
    <xf numFmtId="0" fontId="0" fillId="6" borderId="44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2" xfId="0" applyFill="1" applyBorder="1" applyAlignment="1">
      <alignment/>
    </xf>
    <xf numFmtId="0" fontId="4" fillId="6" borderId="40" xfId="0" applyFont="1" applyFill="1" applyBorder="1" applyAlignment="1">
      <alignment/>
    </xf>
    <xf numFmtId="4" fontId="0" fillId="6" borderId="43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1" fillId="0" borderId="46" xfId="0" applyNumberFormat="1" applyFont="1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164" fontId="1" fillId="0" borderId="46" xfId="0" applyNumberFormat="1" applyFont="1" applyBorder="1" applyAlignment="1">
      <alignment horizontal="right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5" fillId="6" borderId="8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right"/>
    </xf>
    <xf numFmtId="4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7" borderId="0" xfId="0" applyFill="1" applyBorder="1" applyAlignment="1">
      <alignment/>
    </xf>
    <xf numFmtId="0" fontId="7" fillId="7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4" fontId="0" fillId="3" borderId="53" xfId="0" applyNumberFormat="1" applyFill="1" applyBorder="1" applyAlignment="1">
      <alignment/>
    </xf>
    <xf numFmtId="0" fontId="0" fillId="3" borderId="53" xfId="0" applyFill="1" applyBorder="1" applyAlignment="1">
      <alignment/>
    </xf>
    <xf numFmtId="2" fontId="1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0" fillId="7" borderId="0" xfId="0" applyFill="1" applyAlignment="1">
      <alignment/>
    </xf>
    <xf numFmtId="2" fontId="1" fillId="7" borderId="0" xfId="0" applyNumberFormat="1" applyFont="1" applyFill="1" applyBorder="1" applyAlignment="1">
      <alignment horizontal="right" vertical="center" wrapText="1"/>
    </xf>
    <xf numFmtId="0" fontId="0" fillId="7" borderId="0" xfId="0" applyFill="1" applyBorder="1" applyAlignment="1">
      <alignment horizontal="right" vertical="center" wrapText="1"/>
    </xf>
    <xf numFmtId="164" fontId="1" fillId="7" borderId="0" xfId="0" applyNumberFormat="1" applyFont="1" applyFill="1" applyBorder="1" applyAlignment="1">
      <alignment horizontal="right" vertical="center" wrapText="1"/>
    </xf>
    <xf numFmtId="2" fontId="5" fillId="7" borderId="0" xfId="0" applyNumberFormat="1" applyFont="1" applyFill="1" applyBorder="1" applyAlignment="1">
      <alignment horizontal="right" vertical="center" wrapText="1"/>
    </xf>
    <xf numFmtId="2" fontId="0" fillId="7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8" fillId="6" borderId="44" xfId="0" applyFont="1" applyFill="1" applyBorder="1" applyAlignment="1">
      <alignment horizontal="right"/>
    </xf>
    <xf numFmtId="2" fontId="5" fillId="6" borderId="9" xfId="0" applyNumberFormat="1" applyFont="1" applyFill="1" applyBorder="1" applyAlignment="1">
      <alignment horizontal="right" vertical="center" wrapText="1"/>
    </xf>
    <xf numFmtId="2" fontId="1" fillId="6" borderId="39" xfId="0" applyNumberFormat="1" applyFont="1" applyFill="1" applyBorder="1" applyAlignment="1">
      <alignment horizontal="right" vertical="center" wrapText="1"/>
    </xf>
    <xf numFmtId="2" fontId="1" fillId="6" borderId="36" xfId="0" applyNumberFormat="1" applyFont="1" applyFill="1" applyBorder="1" applyAlignment="1">
      <alignment horizontal="right" vertical="center" wrapText="1"/>
    </xf>
    <xf numFmtId="2" fontId="1" fillId="6" borderId="10" xfId="0" applyNumberFormat="1" applyFont="1" applyFill="1" applyBorder="1" applyAlignment="1">
      <alignment horizontal="right" vertical="center" wrapText="1"/>
    </xf>
    <xf numFmtId="2" fontId="1" fillId="6" borderId="11" xfId="0" applyNumberFormat="1" applyFont="1" applyFill="1" applyBorder="1" applyAlignment="1">
      <alignment horizontal="right" vertical="center" wrapText="1"/>
    </xf>
    <xf numFmtId="2" fontId="5" fillId="6" borderId="10" xfId="0" applyNumberFormat="1" applyFont="1" applyFill="1" applyBorder="1" applyAlignment="1">
      <alignment horizontal="right" vertical="center" wrapText="1"/>
    </xf>
    <xf numFmtId="2" fontId="5" fillId="6" borderId="11" xfId="0" applyNumberFormat="1" applyFont="1" applyFill="1" applyBorder="1" applyAlignment="1">
      <alignment horizontal="right" vertical="center" wrapText="1"/>
    </xf>
    <xf numFmtId="2" fontId="1" fillId="6" borderId="8" xfId="0" applyNumberFormat="1" applyFont="1" applyFill="1" applyBorder="1" applyAlignment="1">
      <alignment horizontal="right" vertical="center" wrapText="1"/>
    </xf>
    <xf numFmtId="2" fontId="1" fillId="6" borderId="9" xfId="0" applyNumberFormat="1" applyFont="1" applyFill="1" applyBorder="1" applyAlignment="1">
      <alignment horizontal="right" vertical="center" wrapText="1"/>
    </xf>
    <xf numFmtId="2" fontId="5" fillId="6" borderId="14" xfId="0" applyNumberFormat="1" applyFont="1" applyFill="1" applyBorder="1" applyAlignment="1">
      <alignment horizontal="right" vertical="center" wrapText="1"/>
    </xf>
    <xf numFmtId="2" fontId="5" fillId="6" borderId="38" xfId="0" applyNumberFormat="1" applyFont="1" applyFill="1" applyBorder="1" applyAlignment="1">
      <alignment horizontal="right" vertical="center" wrapText="1"/>
    </xf>
    <xf numFmtId="2" fontId="5" fillId="6" borderId="40" xfId="0" applyNumberFormat="1" applyFont="1" applyFill="1" applyBorder="1" applyAlignment="1">
      <alignment horizontal="right" vertical="center" wrapText="1"/>
    </xf>
    <xf numFmtId="2" fontId="5" fillId="6" borderId="43" xfId="0" applyNumberFormat="1" applyFont="1" applyFill="1" applyBorder="1" applyAlignment="1">
      <alignment horizontal="right" vertical="center" wrapText="1"/>
    </xf>
    <xf numFmtId="2" fontId="1" fillId="6" borderId="40" xfId="0" applyNumberFormat="1" applyFont="1" applyFill="1" applyBorder="1" applyAlignment="1">
      <alignment horizontal="right" vertical="center" wrapText="1"/>
    </xf>
    <xf numFmtId="2" fontId="1" fillId="6" borderId="43" xfId="0" applyNumberFormat="1" applyFont="1" applyFill="1" applyBorder="1" applyAlignment="1">
      <alignment horizontal="right" vertical="center" wrapText="1"/>
    </xf>
    <xf numFmtId="168" fontId="2" fillId="2" borderId="19" xfId="0" applyNumberFormat="1" applyFont="1" applyFill="1" applyBorder="1" applyAlignment="1">
      <alignment horizontal="right" vertical="center" wrapText="1"/>
    </xf>
    <xf numFmtId="168" fontId="2" fillId="2" borderId="37" xfId="0" applyNumberFormat="1" applyFont="1" applyFill="1" applyBorder="1" applyAlignment="1">
      <alignment horizontal="center" vertical="center" wrapText="1"/>
    </xf>
    <xf numFmtId="168" fontId="9" fillId="0" borderId="19" xfId="0" applyNumberFormat="1" applyFont="1" applyBorder="1" applyAlignment="1">
      <alignment horizontal="right" vertical="center" wrapText="1"/>
    </xf>
    <xf numFmtId="168" fontId="9" fillId="0" borderId="37" xfId="0" applyNumberFormat="1" applyFont="1" applyBorder="1" applyAlignment="1">
      <alignment horizontal="center" vertical="center" wrapText="1"/>
    </xf>
    <xf numFmtId="168" fontId="2" fillId="0" borderId="37" xfId="0" applyNumberFormat="1" applyFont="1" applyFill="1" applyBorder="1" applyAlignment="1">
      <alignment horizontal="center" vertical="center" wrapText="1"/>
    </xf>
    <xf numFmtId="168" fontId="9" fillId="2" borderId="20" xfId="0" applyNumberFormat="1" applyFont="1" applyFill="1" applyBorder="1" applyAlignment="1">
      <alignment horizontal="right" vertical="center" wrapText="1"/>
    </xf>
    <xf numFmtId="168" fontId="9" fillId="0" borderId="37" xfId="0" applyNumberFormat="1" applyFont="1" applyBorder="1" applyAlignment="1">
      <alignment horizontal="right" vertical="center" wrapText="1"/>
    </xf>
    <xf numFmtId="168" fontId="9" fillId="0" borderId="20" xfId="0" applyNumberFormat="1" applyFont="1" applyBorder="1" applyAlignment="1">
      <alignment horizontal="right" vertical="center" wrapText="1"/>
    </xf>
    <xf numFmtId="168" fontId="9" fillId="0" borderId="23" xfId="0" applyNumberFormat="1" applyFont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right" vertical="center" wrapText="1"/>
    </xf>
    <xf numFmtId="168" fontId="9" fillId="2" borderId="37" xfId="0" applyNumberFormat="1" applyFont="1" applyFill="1" applyBorder="1" applyAlignment="1">
      <alignment horizontal="right" vertical="center" wrapText="1"/>
    </xf>
    <xf numFmtId="168" fontId="9" fillId="0" borderId="1" xfId="0" applyNumberFormat="1" applyFont="1" applyBorder="1" applyAlignment="1">
      <alignment horizontal="right" vertical="center" wrapText="1"/>
    </xf>
    <xf numFmtId="168" fontId="8" fillId="0" borderId="36" xfId="0" applyNumberFormat="1" applyFont="1" applyBorder="1" applyAlignment="1">
      <alignment/>
    </xf>
    <xf numFmtId="168" fontId="9" fillId="0" borderId="21" xfId="0" applyNumberFormat="1" applyFont="1" applyFill="1" applyBorder="1" applyAlignment="1">
      <alignment horizontal="right" vertical="center" wrapText="1"/>
    </xf>
    <xf numFmtId="168" fontId="8" fillId="0" borderId="11" xfId="0" applyNumberFormat="1" applyFont="1" applyBorder="1" applyAlignment="1">
      <alignment/>
    </xf>
    <xf numFmtId="168" fontId="8" fillId="0" borderId="0" xfId="0" applyNumberFormat="1" applyFont="1" applyAlignment="1">
      <alignment/>
    </xf>
    <xf numFmtId="168" fontId="3" fillId="2" borderId="12" xfId="0" applyNumberFormat="1" applyFont="1" applyFill="1" applyBorder="1" applyAlignment="1">
      <alignment/>
    </xf>
    <xf numFmtId="168" fontId="3" fillId="0" borderId="0" xfId="0" applyNumberFormat="1" applyFont="1" applyAlignment="1">
      <alignment/>
    </xf>
    <xf numFmtId="2" fontId="1" fillId="0" borderId="40" xfId="0" applyNumberFormat="1" applyFont="1" applyBorder="1" applyAlignment="1">
      <alignment horizontal="right" vertical="center" wrapText="1"/>
    </xf>
    <xf numFmtId="168" fontId="9" fillId="0" borderId="8" xfId="0" applyNumberFormat="1" applyFont="1" applyBorder="1" applyAlignment="1">
      <alignment horizontal="right" vertical="center" wrapText="1"/>
    </xf>
    <xf numFmtId="168" fontId="9" fillId="0" borderId="9" xfId="0" applyNumberFormat="1" applyFont="1" applyBorder="1" applyAlignment="1">
      <alignment horizontal="center" vertical="center" wrapText="1"/>
    </xf>
    <xf numFmtId="168" fontId="9" fillId="0" borderId="39" xfId="0" applyNumberFormat="1" applyFont="1" applyBorder="1" applyAlignment="1">
      <alignment horizontal="right" vertical="center" wrapText="1"/>
    </xf>
    <xf numFmtId="168" fontId="2" fillId="2" borderId="12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0" fillId="0" borderId="21" xfId="0" applyNumberFormat="1" applyBorder="1" applyAlignment="1">
      <alignment horizontal="center"/>
    </xf>
    <xf numFmtId="2" fontId="0" fillId="0" borderId="21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169" fontId="0" fillId="3" borderId="53" xfId="0" applyNumberFormat="1" applyFill="1" applyBorder="1" applyAlignment="1">
      <alignment/>
    </xf>
    <xf numFmtId="171" fontId="0" fillId="0" borderId="0" xfId="0" applyNumberFormat="1" applyBorder="1" applyAlignment="1">
      <alignment/>
    </xf>
    <xf numFmtId="171" fontId="0" fillId="6" borderId="54" xfId="0" applyNumberFormat="1" applyFill="1" applyBorder="1" applyAlignment="1">
      <alignment/>
    </xf>
    <xf numFmtId="171" fontId="0" fillId="6" borderId="55" xfId="0" applyNumberFormat="1" applyFill="1" applyBorder="1" applyAlignment="1">
      <alignment/>
    </xf>
    <xf numFmtId="171" fontId="0" fillId="6" borderId="56" xfId="0" applyNumberFormat="1" applyFill="1" applyBorder="1" applyAlignment="1">
      <alignment/>
    </xf>
    <xf numFmtId="171" fontId="0" fillId="0" borderId="51" xfId="0" applyNumberFormat="1" applyBorder="1" applyAlignment="1">
      <alignment/>
    </xf>
    <xf numFmtId="171" fontId="0" fillId="0" borderId="46" xfId="0" applyNumberFormat="1" applyBorder="1" applyAlignment="1">
      <alignment/>
    </xf>
    <xf numFmtId="171" fontId="0" fillId="7" borderId="0" xfId="0" applyNumberFormat="1" applyFill="1" applyBorder="1" applyAlignment="1">
      <alignment/>
    </xf>
    <xf numFmtId="171" fontId="3" fillId="6" borderId="56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" fillId="0" borderId="39" xfId="0" applyNumberFormat="1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0" fillId="2" borderId="29" xfId="0" applyFill="1" applyBorder="1" applyAlignment="1">
      <alignment/>
    </xf>
    <xf numFmtId="0" fontId="0" fillId="2" borderId="57" xfId="0" applyFill="1" applyBorder="1" applyAlignment="1">
      <alignment horizontal="center" vertical="center"/>
    </xf>
    <xf numFmtId="2" fontId="0" fillId="2" borderId="57" xfId="0" applyNumberFormat="1" applyFill="1" applyBorder="1" applyAlignment="1">
      <alignment horizontal="center" vertical="center"/>
    </xf>
    <xf numFmtId="2" fontId="0" fillId="2" borderId="54" xfId="0" applyNumberForma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2" fontId="0" fillId="0" borderId="59" xfId="0" applyNumberFormat="1" applyBorder="1" applyAlignment="1">
      <alignment/>
    </xf>
    <xf numFmtId="0" fontId="0" fillId="0" borderId="60" xfId="0" applyBorder="1" applyAlignment="1">
      <alignment/>
    </xf>
    <xf numFmtId="2" fontId="1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" fillId="0" borderId="39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70"/>
  <sheetViews>
    <sheetView showGridLines="0" tabSelected="1" workbookViewId="0" topLeftCell="V7">
      <selection activeCell="Z30" sqref="Z30"/>
    </sheetView>
  </sheetViews>
  <sheetFormatPr defaultColWidth="11.421875" defaultRowHeight="12.75"/>
  <cols>
    <col min="1" max="1" width="2.8515625" style="0" customWidth="1"/>
    <col min="2" max="2" width="10.28125" style="0" bestFit="1" customWidth="1"/>
    <col min="3" max="3" width="9.140625" style="0" bestFit="1" customWidth="1"/>
    <col min="4" max="4" width="6.00390625" style="0" bestFit="1" customWidth="1"/>
    <col min="5" max="5" width="5.8515625" style="0" customWidth="1"/>
    <col min="6" max="6" width="8.28125" style="0" bestFit="1" customWidth="1"/>
    <col min="7" max="7" width="14.140625" style="0" customWidth="1"/>
    <col min="8" max="8" width="14.140625" style="0" bestFit="1" customWidth="1"/>
    <col min="9" max="9" width="9.7109375" style="0" customWidth="1"/>
    <col min="10" max="11" width="10.7109375" style="0" customWidth="1"/>
    <col min="12" max="12" width="10.421875" style="0" customWidth="1"/>
    <col min="13" max="13" width="19.421875" style="0" bestFit="1" customWidth="1"/>
    <col min="14" max="14" width="19.00390625" style="0" customWidth="1"/>
    <col min="15" max="15" width="11.8515625" style="0" customWidth="1"/>
    <col min="16" max="16" width="13.140625" style="0" customWidth="1"/>
    <col min="17" max="17" width="13.8515625" style="0" customWidth="1"/>
    <col min="18" max="18" width="12.57421875" style="0" customWidth="1"/>
    <col min="19" max="19" width="13.421875" style="0" bestFit="1" customWidth="1"/>
    <col min="20" max="20" width="15.421875" style="0" bestFit="1" customWidth="1"/>
    <col min="21" max="21" width="18.421875" style="0" bestFit="1" customWidth="1"/>
    <col min="22" max="22" width="3.140625" style="0" customWidth="1"/>
    <col min="23" max="23" width="2.8515625" style="0" customWidth="1"/>
    <col min="24" max="24" width="2.140625" style="0" customWidth="1"/>
    <col min="25" max="25" width="13.421875" style="0" customWidth="1"/>
    <col min="26" max="26" width="12.421875" style="0" customWidth="1"/>
    <col min="27" max="27" width="16.7109375" style="0" bestFit="1" customWidth="1"/>
    <col min="28" max="28" width="2.421875" style="0" customWidth="1"/>
    <col min="29" max="29" width="8.7109375" style="0" bestFit="1" customWidth="1"/>
    <col min="30" max="30" width="14.140625" style="0" bestFit="1" customWidth="1"/>
    <col min="31" max="31" width="18.7109375" style="0" bestFit="1" customWidth="1"/>
    <col min="32" max="32" width="4.421875" style="0" customWidth="1"/>
    <col min="33" max="33" width="5.421875" style="0" bestFit="1" customWidth="1"/>
    <col min="34" max="34" width="17.7109375" style="0" customWidth="1"/>
    <col min="35" max="35" width="3.28125" style="0" customWidth="1"/>
    <col min="37" max="16384" width="11.421875" style="144" customWidth="1"/>
  </cols>
  <sheetData>
    <row r="2" spans="2:22" ht="12.75">
      <c r="B2" s="5"/>
      <c r="C2" s="259" t="s">
        <v>58</v>
      </c>
      <c r="D2" s="260"/>
      <c r="E2" s="260"/>
      <c r="F2" s="260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2:28" ht="15">
      <c r="B3" s="5"/>
      <c r="C3" s="255" t="s">
        <v>4</v>
      </c>
      <c r="D3" s="261"/>
      <c r="E3" s="261"/>
      <c r="F3" s="261"/>
      <c r="G3" s="123"/>
      <c r="H3" s="123"/>
      <c r="I3" s="123"/>
      <c r="J3" s="123"/>
      <c r="K3" s="123"/>
      <c r="L3" s="123"/>
      <c r="M3" s="255" t="s">
        <v>5</v>
      </c>
      <c r="N3" s="256"/>
      <c r="O3" s="255"/>
      <c r="P3" s="123"/>
      <c r="Q3" s="123"/>
      <c r="R3" s="123"/>
      <c r="S3" s="123"/>
      <c r="T3" s="123"/>
      <c r="U3" s="123"/>
      <c r="V3" s="124"/>
      <c r="W3" s="124"/>
      <c r="X3" s="124"/>
      <c r="Y3" s="124"/>
      <c r="Z3" s="124"/>
      <c r="AA3" s="124"/>
      <c r="AB3" s="124"/>
    </row>
    <row r="4" spans="2:22" ht="6" customHeight="1" thickBot="1">
      <c r="B4" s="5"/>
      <c r="C4" s="16"/>
      <c r="D4" s="17"/>
      <c r="E4" s="17"/>
      <c r="F4" s="17"/>
      <c r="G4" s="5"/>
      <c r="H4" s="16"/>
      <c r="I4" s="16"/>
      <c r="J4" s="16"/>
      <c r="K4" s="16"/>
      <c r="L4" s="16"/>
      <c r="M4" s="16"/>
      <c r="N4" s="16"/>
      <c r="O4" s="16"/>
      <c r="P4" s="16"/>
      <c r="Q4" s="5"/>
      <c r="R4" s="5"/>
      <c r="S4" s="5"/>
      <c r="T4" s="5"/>
      <c r="U4" s="5"/>
      <c r="V4" s="5"/>
    </row>
    <row r="5" spans="2:22" ht="79.5" customHeight="1" thickTop="1">
      <c r="B5" s="37" t="s">
        <v>6</v>
      </c>
      <c r="C5" s="38" t="s">
        <v>7</v>
      </c>
      <c r="D5" s="39" t="s">
        <v>8</v>
      </c>
      <c r="E5" s="40" t="s">
        <v>9</v>
      </c>
      <c r="F5" s="41" t="s">
        <v>10</v>
      </c>
      <c r="G5" s="88" t="s">
        <v>93</v>
      </c>
      <c r="H5" s="92" t="s">
        <v>94</v>
      </c>
      <c r="I5" s="92" t="s">
        <v>92</v>
      </c>
      <c r="J5" s="91" t="s">
        <v>91</v>
      </c>
      <c r="K5" s="39" t="s">
        <v>67</v>
      </c>
      <c r="L5" s="90" t="s">
        <v>11</v>
      </c>
      <c r="M5" s="39" t="s">
        <v>70</v>
      </c>
      <c r="N5" s="39" t="s">
        <v>72</v>
      </c>
      <c r="O5" s="104" t="s">
        <v>74</v>
      </c>
      <c r="P5" s="84" t="s">
        <v>85</v>
      </c>
      <c r="Q5" s="89" t="s">
        <v>79</v>
      </c>
      <c r="R5" s="42" t="s">
        <v>12</v>
      </c>
      <c r="S5" s="38" t="s">
        <v>78</v>
      </c>
      <c r="T5" s="37" t="s">
        <v>13</v>
      </c>
      <c r="U5" s="43" t="s">
        <v>14</v>
      </c>
      <c r="V5" s="5"/>
    </row>
    <row r="6" spans="2:21" ht="21" customHeight="1">
      <c r="B6" s="146"/>
      <c r="G6" s="102" t="s">
        <v>63</v>
      </c>
      <c r="H6" s="83" t="s">
        <v>64</v>
      </c>
      <c r="I6" s="83" t="s">
        <v>65</v>
      </c>
      <c r="J6" s="83" t="s">
        <v>66</v>
      </c>
      <c r="K6" s="83" t="s">
        <v>68</v>
      </c>
      <c r="L6" s="83" t="s">
        <v>69</v>
      </c>
      <c r="M6" s="83" t="s">
        <v>71</v>
      </c>
      <c r="N6" s="83" t="s">
        <v>73</v>
      </c>
      <c r="O6" s="105" t="s">
        <v>75</v>
      </c>
      <c r="P6" s="86" t="s">
        <v>76</v>
      </c>
      <c r="Q6" s="83" t="s">
        <v>77</v>
      </c>
      <c r="R6" s="102" t="s">
        <v>81</v>
      </c>
      <c r="S6" s="83" t="s">
        <v>80</v>
      </c>
      <c r="T6" s="102"/>
      <c r="U6" s="86"/>
    </row>
    <row r="7" spans="1:36" s="239" customFormat="1" ht="15.75" thickBot="1">
      <c r="A7" s="119"/>
      <c r="B7" s="107" t="s">
        <v>0</v>
      </c>
      <c r="C7" s="108"/>
      <c r="D7" s="109"/>
      <c r="E7" s="110"/>
      <c r="F7" s="111"/>
      <c r="G7" s="112"/>
      <c r="H7" s="113"/>
      <c r="I7" s="113"/>
      <c r="J7" s="114"/>
      <c r="K7" s="115"/>
      <c r="L7" s="115"/>
      <c r="M7" s="115">
        <f>SUM(M8:M11)</f>
        <v>314.38</v>
      </c>
      <c r="N7" s="115">
        <f>SUM(N8:N11)</f>
        <v>358.69</v>
      </c>
      <c r="O7" s="116"/>
      <c r="P7" s="120"/>
      <c r="Q7" s="117">
        <v>28.37</v>
      </c>
      <c r="R7" s="118">
        <f>SUM(Q7,N8:N11)</f>
        <v>387.06</v>
      </c>
      <c r="S7" s="108"/>
      <c r="T7" s="202"/>
      <c r="U7" s="203">
        <f>SUM(Q7,T8:T11)</f>
        <v>380.67499999999995</v>
      </c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</row>
    <row r="8" spans="2:35" ht="15.75" thickTop="1">
      <c r="B8" s="44"/>
      <c r="C8" s="9" t="s">
        <v>1</v>
      </c>
      <c r="D8" s="10" t="s">
        <v>2</v>
      </c>
      <c r="E8" s="11">
        <v>3</v>
      </c>
      <c r="F8" s="8" t="s">
        <v>3</v>
      </c>
      <c r="G8" s="57">
        <v>91.23</v>
      </c>
      <c r="H8" s="28">
        <v>105.89</v>
      </c>
      <c r="I8" s="28">
        <v>5.12</v>
      </c>
      <c r="J8" s="29">
        <v>1.07</v>
      </c>
      <c r="K8" s="27">
        <f>SUM(I8,J8)</f>
        <v>6.19</v>
      </c>
      <c r="L8" s="27">
        <v>14.36</v>
      </c>
      <c r="M8" s="14">
        <f>SUM(G8,K8)</f>
        <v>97.42</v>
      </c>
      <c r="N8" s="14">
        <f>SUM(H8,K8)</f>
        <v>112.08</v>
      </c>
      <c r="O8" s="106">
        <f>N8*(I37+1)</f>
        <v>126.15289758798703</v>
      </c>
      <c r="P8" s="106">
        <f>SUM(G8,K8/2)</f>
        <v>94.325</v>
      </c>
      <c r="Q8" s="85"/>
      <c r="R8" s="18"/>
      <c r="S8" s="9"/>
      <c r="T8" s="204">
        <f>SUM(H8,I8/2,J8/2)</f>
        <v>108.985</v>
      </c>
      <c r="U8" s="205"/>
      <c r="X8" s="153"/>
      <c r="Y8" s="154"/>
      <c r="Z8" s="154"/>
      <c r="AA8" s="154"/>
      <c r="AB8" s="154"/>
      <c r="AC8" s="154"/>
      <c r="AD8" s="155"/>
      <c r="AE8" s="156"/>
      <c r="AF8" s="157"/>
      <c r="AG8" s="154"/>
      <c r="AH8" s="154"/>
      <c r="AI8" s="158"/>
    </row>
    <row r="9" spans="2:35" ht="15">
      <c r="B9" s="44"/>
      <c r="C9" s="9" t="s">
        <v>1</v>
      </c>
      <c r="D9" s="10" t="s">
        <v>23</v>
      </c>
      <c r="E9" s="11">
        <v>2</v>
      </c>
      <c r="F9" s="8" t="s">
        <v>15</v>
      </c>
      <c r="G9" s="57">
        <v>60.21</v>
      </c>
      <c r="H9" s="28">
        <v>67.8</v>
      </c>
      <c r="I9" s="28">
        <v>0</v>
      </c>
      <c r="J9" s="29">
        <v>0</v>
      </c>
      <c r="K9" s="27">
        <f>SUM(I9,J9)</f>
        <v>0</v>
      </c>
      <c r="L9" s="27">
        <v>4.5</v>
      </c>
      <c r="M9" s="14">
        <f>SUM(G9,K9)</f>
        <v>60.21</v>
      </c>
      <c r="N9" s="14">
        <f>SUM(H9,K9)</f>
        <v>67.8</v>
      </c>
      <c r="O9" s="106">
        <f>N9*(I37+1)</f>
        <v>76.31304832678016</v>
      </c>
      <c r="P9" s="101">
        <f>SUM(G9,K9/2)</f>
        <v>60.21</v>
      </c>
      <c r="Q9" s="85"/>
      <c r="R9" s="18"/>
      <c r="S9" s="9"/>
      <c r="T9" s="204">
        <f aca="true" t="shared" si="0" ref="T9:T31">SUM(H9,I9/2,J9/2)</f>
        <v>67.8</v>
      </c>
      <c r="U9" s="205"/>
      <c r="X9" s="159"/>
      <c r="Y9" s="172" t="s">
        <v>121</v>
      </c>
      <c r="Z9" s="173"/>
      <c r="AA9" s="173"/>
      <c r="AB9" s="173"/>
      <c r="AC9" s="173"/>
      <c r="AD9" s="173"/>
      <c r="AE9" s="171"/>
      <c r="AF9" s="171"/>
      <c r="AG9" s="171"/>
      <c r="AH9" s="171"/>
      <c r="AI9" s="160"/>
    </row>
    <row r="10" spans="2:35" ht="15.75" thickBot="1">
      <c r="B10" s="44"/>
      <c r="C10" s="9" t="s">
        <v>1</v>
      </c>
      <c r="D10" s="10" t="s">
        <v>24</v>
      </c>
      <c r="E10" s="11">
        <v>2</v>
      </c>
      <c r="F10" s="8" t="s">
        <v>16</v>
      </c>
      <c r="G10" s="57">
        <v>60.13</v>
      </c>
      <c r="H10" s="28">
        <v>67.68</v>
      </c>
      <c r="I10" s="28">
        <v>0</v>
      </c>
      <c r="J10" s="29">
        <v>0</v>
      </c>
      <c r="K10" s="27">
        <f>SUM(I10,J10)</f>
        <v>0</v>
      </c>
      <c r="L10" s="27">
        <v>4.5</v>
      </c>
      <c r="M10" s="14">
        <f>SUM(G10,K10)</f>
        <v>60.13</v>
      </c>
      <c r="N10" s="14">
        <f>SUM(H10,K10)</f>
        <v>67.68</v>
      </c>
      <c r="O10" s="106">
        <f>N10*(I37+1)</f>
        <v>76.17798098460888</v>
      </c>
      <c r="P10" s="101">
        <f>SUM(G10,K10/2)</f>
        <v>60.13</v>
      </c>
      <c r="Q10" s="85"/>
      <c r="R10" s="18"/>
      <c r="S10" s="9"/>
      <c r="T10" s="204">
        <f t="shared" si="0"/>
        <v>67.68</v>
      </c>
      <c r="U10" s="205"/>
      <c r="X10" s="159"/>
      <c r="Y10" s="26"/>
      <c r="Z10" s="26"/>
      <c r="AA10" s="161" t="s">
        <v>114</v>
      </c>
      <c r="AB10" s="26"/>
      <c r="AC10" s="162" t="s">
        <v>115</v>
      </c>
      <c r="AD10" s="26"/>
      <c r="AE10" s="26"/>
      <c r="AF10" s="26"/>
      <c r="AG10" s="26"/>
      <c r="AH10" s="26"/>
      <c r="AI10" s="160"/>
    </row>
    <row r="11" spans="2:35" ht="15.75" thickTop="1">
      <c r="B11" s="44"/>
      <c r="C11" s="9" t="s">
        <v>1</v>
      </c>
      <c r="D11" s="10" t="s">
        <v>26</v>
      </c>
      <c r="E11" s="11">
        <v>3</v>
      </c>
      <c r="F11" s="8" t="s">
        <v>17</v>
      </c>
      <c r="G11" s="57">
        <v>90.04</v>
      </c>
      <c r="H11" s="28">
        <v>104.55</v>
      </c>
      <c r="I11" s="28">
        <v>5.51</v>
      </c>
      <c r="J11" s="29">
        <v>1.07</v>
      </c>
      <c r="K11" s="27">
        <f>SUM(I11,J11)</f>
        <v>6.58</v>
      </c>
      <c r="L11" s="27">
        <v>14.64</v>
      </c>
      <c r="M11" s="14">
        <f>SUM(G11,K11)</f>
        <v>96.62</v>
      </c>
      <c r="N11" s="14">
        <f>SUM(H11,K11)</f>
        <v>111.13</v>
      </c>
      <c r="O11" s="106">
        <f>N11*(I37+1)</f>
        <v>125.0836144624643</v>
      </c>
      <c r="P11" s="101">
        <f>SUM(G11,K11/2)</f>
        <v>93.33000000000001</v>
      </c>
      <c r="Q11" s="85"/>
      <c r="R11" s="18"/>
      <c r="S11" s="9"/>
      <c r="T11" s="204">
        <f t="shared" si="0"/>
        <v>107.83999999999999</v>
      </c>
      <c r="U11" s="205"/>
      <c r="X11" s="159"/>
      <c r="Y11" s="151" t="s">
        <v>110</v>
      </c>
      <c r="Z11" s="162" t="s">
        <v>37</v>
      </c>
      <c r="AA11" s="229">
        <f>U43+U41</f>
        <v>817.9</v>
      </c>
      <c r="AB11" s="26"/>
      <c r="AC11" s="165">
        <v>0.5</v>
      </c>
      <c r="AD11" s="26"/>
      <c r="AE11" s="231">
        <f>Y12*AC11*AA11</f>
        <v>190161.75</v>
      </c>
      <c r="AF11" s="26"/>
      <c r="AG11" s="149" t="s">
        <v>111</v>
      </c>
      <c r="AH11" s="232">
        <f>AH15*0.005</f>
        <v>5839.46544117647</v>
      </c>
      <c r="AI11" s="160"/>
    </row>
    <row r="12" spans="1:36" s="239" customFormat="1" ht="14.25" customHeight="1" thickBot="1">
      <c r="A12" s="119"/>
      <c r="B12" s="107" t="s">
        <v>25</v>
      </c>
      <c r="C12" s="108"/>
      <c r="D12" s="109"/>
      <c r="E12" s="110"/>
      <c r="F12" s="111"/>
      <c r="G12" s="112"/>
      <c r="H12" s="113"/>
      <c r="I12" s="113"/>
      <c r="J12" s="114"/>
      <c r="K12" s="114"/>
      <c r="L12" s="115"/>
      <c r="M12" s="115">
        <f>SUM(M13:M16)</f>
        <v>314.38</v>
      </c>
      <c r="N12" s="115">
        <f>SUM(N13:N16)</f>
        <v>358.69</v>
      </c>
      <c r="O12" s="116"/>
      <c r="P12" s="120"/>
      <c r="Q12" s="117">
        <v>28.37</v>
      </c>
      <c r="R12" s="118">
        <f>SUM(Q12,N13:N16)</f>
        <v>387.06</v>
      </c>
      <c r="S12" s="108"/>
      <c r="T12" s="202"/>
      <c r="U12" s="203">
        <f>SUM(Q12,T13:T16)</f>
        <v>380.67499999999995</v>
      </c>
      <c r="V12" s="119"/>
      <c r="W12" s="119"/>
      <c r="X12" s="159"/>
      <c r="Y12" s="152">
        <v>465</v>
      </c>
      <c r="Z12" s="162" t="s">
        <v>113</v>
      </c>
      <c r="AA12" s="229">
        <f>R29</f>
        <v>294.59000000000003</v>
      </c>
      <c r="AB12" s="26"/>
      <c r="AC12" s="165">
        <v>0.5</v>
      </c>
      <c r="AD12" s="26"/>
      <c r="AE12" s="231">
        <f>Y12*AC12*AA12</f>
        <v>68492.175</v>
      </c>
      <c r="AF12" s="26"/>
      <c r="AG12" s="150" t="s">
        <v>132</v>
      </c>
      <c r="AH12" s="233">
        <f>AH15*0.015</f>
        <v>17518.39632352941</v>
      </c>
      <c r="AI12" s="160"/>
      <c r="AJ12" s="119"/>
    </row>
    <row r="13" spans="2:35" ht="15.75" thickTop="1">
      <c r="B13" s="44"/>
      <c r="C13" s="9" t="s">
        <v>1</v>
      </c>
      <c r="D13" s="10" t="s">
        <v>2</v>
      </c>
      <c r="E13" s="11">
        <v>3</v>
      </c>
      <c r="F13" s="8" t="s">
        <v>18</v>
      </c>
      <c r="G13" s="57">
        <v>91.23</v>
      </c>
      <c r="H13" s="28">
        <v>105.89</v>
      </c>
      <c r="I13" s="28">
        <v>5.12</v>
      </c>
      <c r="J13" s="29">
        <v>1.07</v>
      </c>
      <c r="K13" s="27">
        <f>SUM(I13,J13)</f>
        <v>6.19</v>
      </c>
      <c r="L13" s="27">
        <v>0</v>
      </c>
      <c r="M13" s="14">
        <f>SUM(G13,K13)</f>
        <v>97.42</v>
      </c>
      <c r="N13" s="14">
        <f>SUM(H13,K13)</f>
        <v>112.08</v>
      </c>
      <c r="O13" s="106">
        <f>N13*(I37+1)</f>
        <v>126.15289758798703</v>
      </c>
      <c r="P13" s="101">
        <f>SUM(G13,K13/2)</f>
        <v>94.325</v>
      </c>
      <c r="Q13" s="85"/>
      <c r="R13" s="18"/>
      <c r="S13" s="9"/>
      <c r="T13" s="204">
        <f t="shared" si="0"/>
        <v>108.985</v>
      </c>
      <c r="U13" s="205"/>
      <c r="X13" s="159"/>
      <c r="Y13" s="26"/>
      <c r="Z13" s="162" t="s">
        <v>112</v>
      </c>
      <c r="AA13" s="229">
        <f>Q29+U25+U21+U17+U12+U7+U32</f>
        <v>2005.585</v>
      </c>
      <c r="AB13" s="26"/>
      <c r="AC13" s="165">
        <v>1</v>
      </c>
      <c r="AD13" s="26"/>
      <c r="AE13" s="231">
        <f>Y12*AC13*AA13</f>
        <v>932597.025</v>
      </c>
      <c r="AF13" s="26"/>
      <c r="AG13" s="26"/>
      <c r="AH13" s="231"/>
      <c r="AI13" s="160"/>
    </row>
    <row r="14" spans="2:35" ht="15.75" thickBot="1">
      <c r="B14" s="44"/>
      <c r="C14" s="9" t="s">
        <v>1</v>
      </c>
      <c r="D14" s="10" t="s">
        <v>23</v>
      </c>
      <c r="E14" s="11">
        <v>2</v>
      </c>
      <c r="F14" s="8" t="s">
        <v>19</v>
      </c>
      <c r="G14" s="57">
        <v>60.21</v>
      </c>
      <c r="H14" s="28">
        <v>67.8</v>
      </c>
      <c r="I14" s="28">
        <v>0</v>
      </c>
      <c r="J14" s="29">
        <v>0</v>
      </c>
      <c r="K14" s="27">
        <f>SUM(I14,J14)</f>
        <v>0</v>
      </c>
      <c r="L14" s="27">
        <v>0</v>
      </c>
      <c r="M14" s="14">
        <f>SUM(G14,K14)</f>
        <v>60.21</v>
      </c>
      <c r="N14" s="14">
        <f>SUM(H14,K14)</f>
        <v>67.8</v>
      </c>
      <c r="O14" s="106">
        <f>N14*(I37+1)</f>
        <v>76.31304832678016</v>
      </c>
      <c r="P14" s="101">
        <f>SUM(G14,K14/2)</f>
        <v>60.21</v>
      </c>
      <c r="Q14" s="85"/>
      <c r="R14" s="18"/>
      <c r="S14" s="9"/>
      <c r="T14" s="204">
        <f t="shared" si="0"/>
        <v>67.8</v>
      </c>
      <c r="U14" s="205"/>
      <c r="X14" s="159"/>
      <c r="Y14" s="26"/>
      <c r="Z14" s="26"/>
      <c r="AA14" s="26"/>
      <c r="AB14" s="26"/>
      <c r="AC14" s="26"/>
      <c r="AD14" s="26"/>
      <c r="AE14" s="26"/>
      <c r="AF14" s="26"/>
      <c r="AG14" s="26"/>
      <c r="AH14" s="231"/>
      <c r="AI14" s="160"/>
    </row>
    <row r="15" spans="2:35" ht="17.25" thickBot="1" thickTop="1">
      <c r="B15" s="44"/>
      <c r="C15" s="9" t="s">
        <v>1</v>
      </c>
      <c r="D15" s="10" t="s">
        <v>24</v>
      </c>
      <c r="E15" s="11">
        <v>2</v>
      </c>
      <c r="F15" s="8" t="s">
        <v>20</v>
      </c>
      <c r="G15" s="57">
        <v>60.13</v>
      </c>
      <c r="H15" s="28">
        <v>67.68</v>
      </c>
      <c r="I15" s="28">
        <v>0</v>
      </c>
      <c r="J15" s="29">
        <v>0</v>
      </c>
      <c r="K15" s="27">
        <f>SUM(I15,J15)</f>
        <v>0</v>
      </c>
      <c r="L15" s="27">
        <v>0</v>
      </c>
      <c r="M15" s="14">
        <f>SUM(G15,K15)</f>
        <v>60.13</v>
      </c>
      <c r="N15" s="14">
        <f>SUM(H15,K15)</f>
        <v>67.68</v>
      </c>
      <c r="O15" s="106">
        <f>N15*(I37+1)</f>
        <v>76.17798098460888</v>
      </c>
      <c r="P15" s="101">
        <f>SUM(G15,K15/2)</f>
        <v>60.13</v>
      </c>
      <c r="Q15" s="85"/>
      <c r="R15" s="18"/>
      <c r="S15" s="9"/>
      <c r="T15" s="204">
        <f t="shared" si="0"/>
        <v>67.68</v>
      </c>
      <c r="U15" s="205"/>
      <c r="X15" s="159"/>
      <c r="Y15" s="174" t="s">
        <v>116</v>
      </c>
      <c r="Z15" s="230">
        <v>400</v>
      </c>
      <c r="AA15" s="26"/>
      <c r="AB15" s="26"/>
      <c r="AC15" s="144"/>
      <c r="AD15" s="186" t="s">
        <v>109</v>
      </c>
      <c r="AE15" s="238">
        <f>SUM(AE11:AE13)</f>
        <v>1191250.95</v>
      </c>
      <c r="AF15" s="26"/>
      <c r="AG15" s="148" t="s">
        <v>108</v>
      </c>
      <c r="AH15" s="234">
        <f>AE15/1.02</f>
        <v>1167893.088235294</v>
      </c>
      <c r="AI15" s="160"/>
    </row>
    <row r="16" spans="2:35" ht="15.75" thickTop="1">
      <c r="B16" s="44"/>
      <c r="C16" s="9" t="s">
        <v>1</v>
      </c>
      <c r="D16" s="10" t="s">
        <v>26</v>
      </c>
      <c r="E16" s="11">
        <v>3</v>
      </c>
      <c r="F16" s="8" t="s">
        <v>21</v>
      </c>
      <c r="G16" s="57">
        <v>90.04</v>
      </c>
      <c r="H16" s="28">
        <v>104.55</v>
      </c>
      <c r="I16" s="28">
        <v>5.51</v>
      </c>
      <c r="J16" s="29">
        <v>1.07</v>
      </c>
      <c r="K16" s="27">
        <f>SUM(I16,J16)</f>
        <v>6.58</v>
      </c>
      <c r="L16" s="27">
        <v>0</v>
      </c>
      <c r="M16" s="14">
        <f>SUM(G16,K16)</f>
        <v>96.62</v>
      </c>
      <c r="N16" s="14">
        <f>SUM(H16,K16)</f>
        <v>111.13</v>
      </c>
      <c r="O16" s="106">
        <f>N16*(I37+1)</f>
        <v>125.0836144624643</v>
      </c>
      <c r="P16" s="101">
        <f>SUM(G16,K16/2)</f>
        <v>93.33000000000001</v>
      </c>
      <c r="Q16" s="85"/>
      <c r="R16" s="18"/>
      <c r="S16" s="9"/>
      <c r="T16" s="204">
        <f t="shared" si="0"/>
        <v>107.83999999999999</v>
      </c>
      <c r="U16" s="205"/>
      <c r="X16" s="159"/>
      <c r="Y16" s="174" t="s">
        <v>117</v>
      </c>
      <c r="Z16" s="175">
        <v>1</v>
      </c>
      <c r="AA16" s="26"/>
      <c r="AB16" s="26"/>
      <c r="AC16" s="26"/>
      <c r="AD16" s="26"/>
      <c r="AE16" s="26"/>
      <c r="AF16" s="26"/>
      <c r="AG16" s="26"/>
      <c r="AH16" s="231"/>
      <c r="AI16" s="160"/>
    </row>
    <row r="17" spans="1:36" s="239" customFormat="1" ht="15">
      <c r="A17" s="119"/>
      <c r="B17" s="107" t="s">
        <v>27</v>
      </c>
      <c r="C17" s="108"/>
      <c r="D17" s="109"/>
      <c r="E17" s="110"/>
      <c r="F17" s="111"/>
      <c r="G17" s="112"/>
      <c r="H17" s="113"/>
      <c r="I17" s="113"/>
      <c r="J17" s="114"/>
      <c r="K17" s="114"/>
      <c r="L17" s="115"/>
      <c r="M17" s="115">
        <f>SUM(M18:M20)</f>
        <v>308.95</v>
      </c>
      <c r="N17" s="115">
        <f>SUM(N18:N20)</f>
        <v>356.15000000000003</v>
      </c>
      <c r="O17" s="116"/>
      <c r="P17" s="120"/>
      <c r="Q17" s="117">
        <v>28.11</v>
      </c>
      <c r="R17" s="118">
        <f>SUM(Q17,N18:N20)</f>
        <v>384.26000000000005</v>
      </c>
      <c r="S17" s="108"/>
      <c r="T17" s="202"/>
      <c r="U17" s="203">
        <f>SUM(Q17,T18:T20)</f>
        <v>374.69500000000005</v>
      </c>
      <c r="V17" s="119"/>
      <c r="W17" s="119"/>
      <c r="X17" s="159"/>
      <c r="Y17" s="174" t="s">
        <v>119</v>
      </c>
      <c r="Z17" s="176">
        <v>0.95</v>
      </c>
      <c r="AA17" s="165"/>
      <c r="AB17" s="26"/>
      <c r="AC17" s="26"/>
      <c r="AD17" s="26"/>
      <c r="AE17" s="26"/>
      <c r="AF17" s="26"/>
      <c r="AG17" s="26"/>
      <c r="AH17" s="231"/>
      <c r="AI17" s="160"/>
      <c r="AJ17" s="119"/>
    </row>
    <row r="18" spans="2:35" ht="15">
      <c r="B18" s="44"/>
      <c r="C18" s="9" t="s">
        <v>1</v>
      </c>
      <c r="D18" s="10" t="s">
        <v>87</v>
      </c>
      <c r="E18" s="11">
        <v>3</v>
      </c>
      <c r="F18" s="8" t="s">
        <v>22</v>
      </c>
      <c r="G18" s="57">
        <v>98.38</v>
      </c>
      <c r="H18" s="28">
        <v>113.54</v>
      </c>
      <c r="I18" s="28">
        <v>5.12</v>
      </c>
      <c r="J18" s="29">
        <v>4.25</v>
      </c>
      <c r="K18" s="27">
        <f>SUM(I18,J18)</f>
        <v>9.370000000000001</v>
      </c>
      <c r="L18" s="14">
        <v>0</v>
      </c>
      <c r="M18" s="14">
        <f>SUM(G18,K18)</f>
        <v>107.75</v>
      </c>
      <c r="N18" s="14">
        <f>SUM(H18,K18)</f>
        <v>122.91000000000001</v>
      </c>
      <c r="O18" s="106">
        <f>N18*(I37+1)</f>
        <v>138.34272521894619</v>
      </c>
      <c r="P18" s="101">
        <f>SUM(G18,K18/2)</f>
        <v>103.065</v>
      </c>
      <c r="Q18" s="85"/>
      <c r="R18" s="18"/>
      <c r="S18" s="9"/>
      <c r="T18" s="204">
        <f t="shared" si="0"/>
        <v>118.22500000000001</v>
      </c>
      <c r="U18" s="205"/>
      <c r="X18" s="159"/>
      <c r="Y18" s="174" t="s">
        <v>118</v>
      </c>
      <c r="Z18" s="175">
        <v>1</v>
      </c>
      <c r="AA18" s="26"/>
      <c r="AB18" s="26"/>
      <c r="AC18" s="26"/>
      <c r="AD18" s="26"/>
      <c r="AE18" s="26"/>
      <c r="AF18" s="26"/>
      <c r="AG18" s="26"/>
      <c r="AH18" s="231"/>
      <c r="AI18" s="160"/>
    </row>
    <row r="19" spans="2:35" ht="15">
      <c r="B19" s="44"/>
      <c r="C19" s="9" t="s">
        <v>1</v>
      </c>
      <c r="D19" s="10" t="s">
        <v>88</v>
      </c>
      <c r="E19" s="11">
        <v>3</v>
      </c>
      <c r="F19" s="8" t="s">
        <v>29</v>
      </c>
      <c r="G19" s="57">
        <v>94.21</v>
      </c>
      <c r="H19" s="28">
        <v>111.2</v>
      </c>
      <c r="I19" s="28">
        <v>0</v>
      </c>
      <c r="J19" s="29">
        <v>0</v>
      </c>
      <c r="K19" s="27">
        <f>SUM(I19,J19)</f>
        <v>0</v>
      </c>
      <c r="L19" s="14">
        <v>0</v>
      </c>
      <c r="M19" s="14">
        <f>SUM(G19,K19)</f>
        <v>94.21</v>
      </c>
      <c r="N19" s="14">
        <f>SUM(H19,K19)</f>
        <v>111.2</v>
      </c>
      <c r="O19" s="106">
        <f>N19*(I37+1)</f>
        <v>125.16240374539755</v>
      </c>
      <c r="P19" s="101">
        <f>SUM(G19,K19/2)</f>
        <v>94.21</v>
      </c>
      <c r="Q19" s="85"/>
      <c r="R19" s="18"/>
      <c r="S19" s="9"/>
      <c r="T19" s="204">
        <f t="shared" si="0"/>
        <v>111.2</v>
      </c>
      <c r="U19" s="205"/>
      <c r="X19" s="159"/>
      <c r="Y19" s="174" t="s">
        <v>120</v>
      </c>
      <c r="Z19" s="175">
        <v>1</v>
      </c>
      <c r="AA19" s="26"/>
      <c r="AB19" s="26"/>
      <c r="AC19" s="26"/>
      <c r="AD19" s="26"/>
      <c r="AE19" s="26"/>
      <c r="AF19" s="26"/>
      <c r="AG19" s="26"/>
      <c r="AH19" s="231"/>
      <c r="AI19" s="160"/>
    </row>
    <row r="20" spans="2:35" ht="15.75" thickBot="1">
      <c r="B20" s="44"/>
      <c r="C20" s="9" t="s">
        <v>1</v>
      </c>
      <c r="D20" s="10" t="s">
        <v>89</v>
      </c>
      <c r="E20" s="11">
        <v>3</v>
      </c>
      <c r="F20" s="8" t="s">
        <v>30</v>
      </c>
      <c r="G20" s="57">
        <v>97.23</v>
      </c>
      <c r="H20" s="28">
        <v>112.28</v>
      </c>
      <c r="I20" s="28">
        <v>5.51</v>
      </c>
      <c r="J20" s="29">
        <v>4.25</v>
      </c>
      <c r="K20" s="27">
        <f>SUM(I20,J20)</f>
        <v>9.76</v>
      </c>
      <c r="L20" s="14">
        <v>0</v>
      </c>
      <c r="M20" s="14">
        <f>SUM(G20,K20)</f>
        <v>106.99000000000001</v>
      </c>
      <c r="N20" s="14">
        <f>SUM(H20,K20)</f>
        <v>122.04</v>
      </c>
      <c r="O20" s="106">
        <f>N20*(I37+1)</f>
        <v>137.3634869882043</v>
      </c>
      <c r="P20" s="101">
        <f>SUM(G20,K20/2)</f>
        <v>102.11</v>
      </c>
      <c r="Q20" s="85"/>
      <c r="R20" s="18"/>
      <c r="S20" s="9"/>
      <c r="T20" s="204">
        <f t="shared" si="0"/>
        <v>117.16</v>
      </c>
      <c r="U20" s="205"/>
      <c r="X20" s="166"/>
      <c r="Y20" s="167"/>
      <c r="Z20" s="168"/>
      <c r="AA20" s="169"/>
      <c r="AB20" s="169"/>
      <c r="AC20" s="169"/>
      <c r="AD20" s="169"/>
      <c r="AE20" s="169"/>
      <c r="AF20" s="169"/>
      <c r="AG20" s="169"/>
      <c r="AH20" s="235"/>
      <c r="AI20" s="170"/>
    </row>
    <row r="21" spans="1:36" s="239" customFormat="1" ht="16.5" thickBot="1" thickTop="1">
      <c r="A21" s="119"/>
      <c r="B21" s="107" t="s">
        <v>28</v>
      </c>
      <c r="C21" s="108"/>
      <c r="D21" s="109"/>
      <c r="E21" s="110"/>
      <c r="F21" s="111"/>
      <c r="G21" s="112"/>
      <c r="H21" s="113"/>
      <c r="I21" s="113"/>
      <c r="J21" s="114"/>
      <c r="K21" s="114"/>
      <c r="L21" s="115"/>
      <c r="M21" s="115">
        <f>SUM(M22:M24)</f>
        <v>308.95</v>
      </c>
      <c r="N21" s="115">
        <f>SUM(N22:N24)</f>
        <v>356.15000000000003</v>
      </c>
      <c r="O21" s="116"/>
      <c r="P21" s="120"/>
      <c r="Q21" s="117">
        <v>28.11</v>
      </c>
      <c r="R21" s="118">
        <f>SUM(Q21,N22:N24)</f>
        <v>384.26000000000005</v>
      </c>
      <c r="S21" s="108"/>
      <c r="T21" s="202"/>
      <c r="U21" s="203">
        <f>SUM(Q21,T22:T24)</f>
        <v>374.69500000000005</v>
      </c>
      <c r="V21" s="119"/>
      <c r="W21" s="119"/>
      <c r="X21" s="26"/>
      <c r="Y21" s="162"/>
      <c r="Z21" s="164"/>
      <c r="AA21" s="26"/>
      <c r="AB21" s="26"/>
      <c r="AC21" s="26"/>
      <c r="AD21" s="26"/>
      <c r="AE21" s="26"/>
      <c r="AF21" s="26"/>
      <c r="AG21" s="26"/>
      <c r="AH21" s="231"/>
      <c r="AI21" s="26"/>
      <c r="AJ21" s="119"/>
    </row>
    <row r="22" spans="2:35" ht="15.75" thickTop="1">
      <c r="B22" s="44"/>
      <c r="C22" s="9" t="s">
        <v>1</v>
      </c>
      <c r="D22" s="10" t="s">
        <v>87</v>
      </c>
      <c r="E22" s="11">
        <v>3</v>
      </c>
      <c r="F22" s="8" t="s">
        <v>31</v>
      </c>
      <c r="G22" s="57">
        <v>98.38</v>
      </c>
      <c r="H22" s="28">
        <v>113.54</v>
      </c>
      <c r="I22" s="28">
        <v>5.12</v>
      </c>
      <c r="J22" s="29">
        <v>4.25</v>
      </c>
      <c r="K22" s="27">
        <f>SUM(I22,J22)</f>
        <v>9.370000000000001</v>
      </c>
      <c r="L22" s="14">
        <v>0</v>
      </c>
      <c r="M22" s="14">
        <f>SUM(G22,K22)</f>
        <v>107.75</v>
      </c>
      <c r="N22" s="14">
        <f>SUM(H22,K22)</f>
        <v>122.91000000000001</v>
      </c>
      <c r="O22" s="106">
        <f>N22*(I37+1)</f>
        <v>138.34272521894619</v>
      </c>
      <c r="P22" s="101">
        <f>SUM(G22,K22/2,L22/2)</f>
        <v>103.065</v>
      </c>
      <c r="Q22" s="85"/>
      <c r="R22" s="18"/>
      <c r="S22" s="9"/>
      <c r="T22" s="204">
        <f t="shared" si="0"/>
        <v>118.22500000000001</v>
      </c>
      <c r="U22" s="205"/>
      <c r="X22" s="153"/>
      <c r="Y22" s="154"/>
      <c r="Z22" s="154"/>
      <c r="AA22" s="154"/>
      <c r="AB22" s="154"/>
      <c r="AC22" s="154"/>
      <c r="AD22" s="154"/>
      <c r="AE22" s="154"/>
      <c r="AF22" s="154"/>
      <c r="AG22" s="154"/>
      <c r="AH22" s="236"/>
      <c r="AI22" s="158"/>
    </row>
    <row r="23" spans="2:35" ht="15">
      <c r="B23" s="44"/>
      <c r="C23" s="9" t="s">
        <v>1</v>
      </c>
      <c r="D23" s="10" t="s">
        <v>88</v>
      </c>
      <c r="E23" s="11">
        <v>3</v>
      </c>
      <c r="F23" s="8" t="s">
        <v>32</v>
      </c>
      <c r="G23" s="57">
        <v>94.21</v>
      </c>
      <c r="H23" s="28">
        <v>111.2</v>
      </c>
      <c r="I23" s="28">
        <v>0</v>
      </c>
      <c r="J23" s="29">
        <v>0</v>
      </c>
      <c r="K23" s="27">
        <f>SUM(I23,J23)</f>
        <v>0</v>
      </c>
      <c r="L23" s="14">
        <v>0</v>
      </c>
      <c r="M23" s="14">
        <f>SUM(G23,K23)</f>
        <v>94.21</v>
      </c>
      <c r="N23" s="14">
        <f>SUM(H23,K23)</f>
        <v>111.2</v>
      </c>
      <c r="O23" s="106">
        <f>N23*(I37+1)</f>
        <v>125.16240374539755</v>
      </c>
      <c r="P23" s="101">
        <f>SUM(G23,K23/2,L23/2)</f>
        <v>94.21</v>
      </c>
      <c r="Q23" s="85"/>
      <c r="R23" s="18"/>
      <c r="S23" s="9"/>
      <c r="T23" s="204">
        <f t="shared" si="0"/>
        <v>111.2</v>
      </c>
      <c r="U23" s="205"/>
      <c r="X23" s="159"/>
      <c r="Y23" s="172" t="s">
        <v>122</v>
      </c>
      <c r="Z23" s="173"/>
      <c r="AA23" s="173"/>
      <c r="AB23" s="173"/>
      <c r="AC23" s="173"/>
      <c r="AD23" s="173"/>
      <c r="AE23" s="173"/>
      <c r="AF23" s="171"/>
      <c r="AG23" s="171"/>
      <c r="AH23" s="237"/>
      <c r="AI23" s="160"/>
    </row>
    <row r="24" spans="2:35" ht="15.75" thickBot="1">
      <c r="B24" s="44"/>
      <c r="C24" s="9" t="s">
        <v>1</v>
      </c>
      <c r="D24" s="10" t="s">
        <v>89</v>
      </c>
      <c r="E24" s="11">
        <v>3</v>
      </c>
      <c r="F24" s="8" t="s">
        <v>33</v>
      </c>
      <c r="G24" s="57">
        <v>97.23</v>
      </c>
      <c r="H24" s="28">
        <v>112.28</v>
      </c>
      <c r="I24" s="28">
        <v>5.51</v>
      </c>
      <c r="J24" s="29">
        <v>4.25</v>
      </c>
      <c r="K24" s="27">
        <f>SUM(I24,J24)</f>
        <v>9.76</v>
      </c>
      <c r="L24" s="14">
        <v>0</v>
      </c>
      <c r="M24" s="14">
        <f>SUM(G24,K24)</f>
        <v>106.99000000000001</v>
      </c>
      <c r="N24" s="14">
        <f>SUM(H24,K24)</f>
        <v>122.04</v>
      </c>
      <c r="O24" s="106">
        <f>N24*(I37+1)</f>
        <v>137.3634869882043</v>
      </c>
      <c r="P24" s="101">
        <f>SUM(G24,K24/2,L24/2)</f>
        <v>102.11</v>
      </c>
      <c r="Q24" s="85"/>
      <c r="R24" s="18"/>
      <c r="S24" s="9"/>
      <c r="T24" s="204">
        <f t="shared" si="0"/>
        <v>117.16</v>
      </c>
      <c r="U24" s="205"/>
      <c r="X24" s="159"/>
      <c r="Y24" s="26"/>
      <c r="Z24" s="26"/>
      <c r="AA24" s="161" t="s">
        <v>114</v>
      </c>
      <c r="AB24" s="26"/>
      <c r="AC24" s="26" t="s">
        <v>115</v>
      </c>
      <c r="AD24" s="26"/>
      <c r="AE24" s="26"/>
      <c r="AF24" s="26"/>
      <c r="AG24" s="26"/>
      <c r="AH24" s="231"/>
      <c r="AI24" s="160"/>
    </row>
    <row r="25" spans="1:36" s="239" customFormat="1" ht="15.75" thickTop="1">
      <c r="A25" s="119"/>
      <c r="B25" s="107" t="s">
        <v>36</v>
      </c>
      <c r="C25" s="108"/>
      <c r="D25" s="109"/>
      <c r="E25" s="110"/>
      <c r="F25" s="111"/>
      <c r="G25" s="112"/>
      <c r="H25" s="113"/>
      <c r="I25" s="113"/>
      <c r="J25" s="114"/>
      <c r="K25" s="114"/>
      <c r="L25" s="115"/>
      <c r="M25" s="115">
        <f>SUM(M26:M28)</f>
        <v>308.95</v>
      </c>
      <c r="N25" s="115">
        <f>SUM(N26:N28)</f>
        <v>356.15000000000003</v>
      </c>
      <c r="O25" s="116"/>
      <c r="P25" s="120"/>
      <c r="Q25" s="117">
        <v>28.11</v>
      </c>
      <c r="R25" s="118">
        <f>SUM(Q25,N26:N28)</f>
        <v>384.26000000000005</v>
      </c>
      <c r="S25" s="108"/>
      <c r="T25" s="202"/>
      <c r="U25" s="203">
        <f>SUM(Q25,T26:T28)</f>
        <v>374.69500000000005</v>
      </c>
      <c r="V25" s="119"/>
      <c r="W25"/>
      <c r="X25" s="159"/>
      <c r="Y25" s="151" t="s">
        <v>110</v>
      </c>
      <c r="Z25" s="162" t="s">
        <v>37</v>
      </c>
      <c r="AA25" s="229">
        <v>104</v>
      </c>
      <c r="AB25" s="26"/>
      <c r="AC25" s="165">
        <v>0.5</v>
      </c>
      <c r="AD25" s="26"/>
      <c r="AE25" s="231">
        <f>Y26*AC25*AA25</f>
        <v>27456</v>
      </c>
      <c r="AF25" s="26"/>
      <c r="AG25" s="149" t="s">
        <v>111</v>
      </c>
      <c r="AH25" s="232">
        <f>AH29*0.005</f>
        <v>551.2941176470588</v>
      </c>
      <c r="AI25" s="160"/>
      <c r="AJ25" s="119"/>
    </row>
    <row r="26" spans="2:35" ht="15.75" thickBot="1">
      <c r="B26" s="44"/>
      <c r="C26" s="9" t="s">
        <v>1</v>
      </c>
      <c r="D26" s="10" t="s">
        <v>123</v>
      </c>
      <c r="E26" s="11">
        <v>3</v>
      </c>
      <c r="F26" s="8" t="s">
        <v>34</v>
      </c>
      <c r="G26" s="57">
        <v>98.38</v>
      </c>
      <c r="H26" s="28">
        <v>113.54</v>
      </c>
      <c r="I26" s="28">
        <v>5.12</v>
      </c>
      <c r="J26" s="29">
        <v>4.25</v>
      </c>
      <c r="K26" s="27">
        <f>SUM(I26,J26)</f>
        <v>9.370000000000001</v>
      </c>
      <c r="L26" s="14">
        <v>43.24</v>
      </c>
      <c r="M26" s="14">
        <f>SUM(G26,K26)</f>
        <v>107.75</v>
      </c>
      <c r="N26" s="14">
        <f>SUM(H26,K26)</f>
        <v>122.91000000000001</v>
      </c>
      <c r="O26" s="106">
        <f>N26*(I37+1)</f>
        <v>138.34272521894619</v>
      </c>
      <c r="P26" s="101">
        <f>SUM(G26,K26/2,L26/2)</f>
        <v>124.685</v>
      </c>
      <c r="Q26" s="85"/>
      <c r="R26" s="18"/>
      <c r="S26" s="9"/>
      <c r="T26" s="204">
        <f t="shared" si="0"/>
        <v>118.22500000000001</v>
      </c>
      <c r="U26" s="205"/>
      <c r="X26" s="159"/>
      <c r="Y26" s="152">
        <f>Z29*Z30*Z31*Z32*Z33</f>
        <v>528</v>
      </c>
      <c r="Z26" s="162" t="s">
        <v>113</v>
      </c>
      <c r="AA26" s="229">
        <f>34</f>
        <v>34</v>
      </c>
      <c r="AB26" s="26"/>
      <c r="AC26" s="165">
        <v>0.5</v>
      </c>
      <c r="AD26" s="26"/>
      <c r="AE26" s="231">
        <f>Y26*AC26*AA26</f>
        <v>8976</v>
      </c>
      <c r="AF26" s="26"/>
      <c r="AG26" s="150" t="s">
        <v>132</v>
      </c>
      <c r="AH26" s="233">
        <f>AH29*0.015</f>
        <v>1653.8823529411764</v>
      </c>
      <c r="AI26" s="160"/>
    </row>
    <row r="27" spans="2:35" ht="15.75" thickTop="1">
      <c r="B27" s="44"/>
      <c r="C27" s="9" t="s">
        <v>1</v>
      </c>
      <c r="D27" s="10" t="s">
        <v>124</v>
      </c>
      <c r="E27" s="11">
        <v>3</v>
      </c>
      <c r="F27" s="8" t="s">
        <v>35</v>
      </c>
      <c r="G27" s="57">
        <v>94.21</v>
      </c>
      <c r="H27" s="28">
        <v>111.2</v>
      </c>
      <c r="I27" s="28">
        <v>0</v>
      </c>
      <c r="J27" s="29">
        <v>0</v>
      </c>
      <c r="K27" s="27">
        <f>SUM(I27,J27)</f>
        <v>0</v>
      </c>
      <c r="L27" s="14">
        <v>43.93</v>
      </c>
      <c r="M27" s="14">
        <f>SUM(G27,K27)</f>
        <v>94.21</v>
      </c>
      <c r="N27" s="14">
        <f>SUM(H27,K27)</f>
        <v>111.2</v>
      </c>
      <c r="O27" s="106">
        <f>N27*(I37+1)</f>
        <v>125.16240374539755</v>
      </c>
      <c r="P27" s="101">
        <f>SUM(G27,K27/2,L27/2)</f>
        <v>116.175</v>
      </c>
      <c r="Q27" s="85"/>
      <c r="R27" s="18"/>
      <c r="S27" s="9"/>
      <c r="T27" s="204">
        <f t="shared" si="0"/>
        <v>111.2</v>
      </c>
      <c r="U27" s="205"/>
      <c r="X27" s="159"/>
      <c r="Y27" s="26"/>
      <c r="Z27" s="162" t="s">
        <v>112</v>
      </c>
      <c r="AA27" s="229">
        <f>144</f>
        <v>144</v>
      </c>
      <c r="AB27" s="26"/>
      <c r="AC27" s="165">
        <v>1</v>
      </c>
      <c r="AD27" s="26"/>
      <c r="AE27" s="231">
        <f>Y26*AC27*AA27</f>
        <v>76032</v>
      </c>
      <c r="AF27" s="26"/>
      <c r="AG27" s="26"/>
      <c r="AH27" s="231"/>
      <c r="AI27" s="160"/>
    </row>
    <row r="28" spans="2:35" ht="15.75" thickBot="1">
      <c r="B28" s="44"/>
      <c r="C28" s="9" t="s">
        <v>1</v>
      </c>
      <c r="D28" s="10" t="s">
        <v>125</v>
      </c>
      <c r="E28" s="11">
        <v>3</v>
      </c>
      <c r="F28" s="8" t="s">
        <v>90</v>
      </c>
      <c r="G28" s="57">
        <v>97.23</v>
      </c>
      <c r="H28" s="28">
        <v>112.28</v>
      </c>
      <c r="I28" s="28">
        <v>5.51</v>
      </c>
      <c r="J28" s="29">
        <v>4.25</v>
      </c>
      <c r="K28" s="27">
        <f>SUM(I28,J28)</f>
        <v>9.76</v>
      </c>
      <c r="L28" s="14">
        <v>43.24</v>
      </c>
      <c r="M28" s="14">
        <f>SUM(G28,K28)</f>
        <v>106.99000000000001</v>
      </c>
      <c r="N28" s="14">
        <f>SUM(H28,K28)</f>
        <v>122.04</v>
      </c>
      <c r="O28" s="106">
        <f>N28*(I37+1)</f>
        <v>137.3634869882043</v>
      </c>
      <c r="P28" s="101">
        <f>SUM(G28,K28/2,L28/2)</f>
        <v>123.73</v>
      </c>
      <c r="Q28" s="85"/>
      <c r="R28" s="18"/>
      <c r="S28" s="9"/>
      <c r="T28" s="204">
        <f t="shared" si="0"/>
        <v>117.16</v>
      </c>
      <c r="U28" s="205"/>
      <c r="X28" s="159"/>
      <c r="Y28" s="26"/>
      <c r="Z28" s="26"/>
      <c r="AA28" s="26"/>
      <c r="AB28" s="26"/>
      <c r="AC28" s="26"/>
      <c r="AD28" s="26"/>
      <c r="AE28" s="26"/>
      <c r="AF28" s="26"/>
      <c r="AG28" s="26"/>
      <c r="AH28" s="231"/>
      <c r="AI28" s="160"/>
    </row>
    <row r="29" spans="1:36" s="239" customFormat="1" ht="17.25" thickBot="1" thickTop="1">
      <c r="A29" s="119"/>
      <c r="B29" s="107" t="s">
        <v>101</v>
      </c>
      <c r="C29" s="108"/>
      <c r="D29" s="109"/>
      <c r="E29" s="110"/>
      <c r="F29" s="111"/>
      <c r="G29" s="112"/>
      <c r="H29" s="113"/>
      <c r="I29" s="113"/>
      <c r="J29" s="114"/>
      <c r="K29" s="114"/>
      <c r="L29" s="115"/>
      <c r="M29" s="115">
        <f>SUM(M30:M31)</f>
        <v>270.83</v>
      </c>
      <c r="N29" s="115">
        <f>SUM(N30:N31)</f>
        <v>294.59000000000003</v>
      </c>
      <c r="O29" s="116"/>
      <c r="P29" s="120"/>
      <c r="Q29" s="117">
        <v>96.75</v>
      </c>
      <c r="R29" s="118">
        <f>SUM(N30:N31)</f>
        <v>294.59000000000003</v>
      </c>
      <c r="S29" s="108"/>
      <c r="T29" s="202"/>
      <c r="U29" s="203">
        <f>SUM(Q29,T30:T31)</f>
        <v>391.34000000000003</v>
      </c>
      <c r="V29" s="119"/>
      <c r="W29" s="119"/>
      <c r="X29" s="159"/>
      <c r="Y29" s="174" t="s">
        <v>116</v>
      </c>
      <c r="Z29" s="230">
        <v>400</v>
      </c>
      <c r="AA29" s="26"/>
      <c r="AB29" s="26"/>
      <c r="AC29" s="144"/>
      <c r="AD29" s="186" t="s">
        <v>109</v>
      </c>
      <c r="AE29" s="238">
        <f>SUM(AE25:AE27)</f>
        <v>112464</v>
      </c>
      <c r="AF29" s="26"/>
      <c r="AG29" s="148" t="s">
        <v>108</v>
      </c>
      <c r="AH29" s="234">
        <f>AE29/1.02</f>
        <v>110258.82352941176</v>
      </c>
      <c r="AI29" s="160"/>
      <c r="AJ29" s="119"/>
    </row>
    <row r="30" spans="2:35" ht="15.75" thickTop="1">
      <c r="B30" s="125"/>
      <c r="C30" s="9" t="s">
        <v>53</v>
      </c>
      <c r="D30" s="10"/>
      <c r="E30" s="11"/>
      <c r="F30" s="8"/>
      <c r="G30" s="55">
        <v>66.46</v>
      </c>
      <c r="H30" s="28">
        <v>72.29</v>
      </c>
      <c r="I30" s="28">
        <v>0</v>
      </c>
      <c r="J30" s="12">
        <v>0</v>
      </c>
      <c r="K30" s="27">
        <f>SUM(I30,J30)</f>
        <v>0</v>
      </c>
      <c r="L30" s="14">
        <v>0</v>
      </c>
      <c r="M30" s="14">
        <f>SUM(G30,K30)</f>
        <v>66.46</v>
      </c>
      <c r="N30" s="14">
        <f>SUM(H30,K30)</f>
        <v>72.29</v>
      </c>
      <c r="O30" s="106">
        <f>N30*(I37+1)</f>
        <v>81.36681804635603</v>
      </c>
      <c r="P30" s="101">
        <f>SUM(G30,K30/2)</f>
        <v>66.46</v>
      </c>
      <c r="Q30" s="85"/>
      <c r="R30" s="18"/>
      <c r="S30" s="9"/>
      <c r="T30" s="204">
        <f t="shared" si="0"/>
        <v>72.29</v>
      </c>
      <c r="U30" s="206"/>
      <c r="X30" s="159"/>
      <c r="Y30" s="174" t="s">
        <v>117</v>
      </c>
      <c r="Z30" s="175">
        <v>1</v>
      </c>
      <c r="AA30" s="26"/>
      <c r="AB30" s="26"/>
      <c r="AC30" s="26"/>
      <c r="AD30" s="26"/>
      <c r="AE30" s="26"/>
      <c r="AF30" s="26"/>
      <c r="AG30" s="26"/>
      <c r="AH30" s="26"/>
      <c r="AI30" s="160"/>
    </row>
    <row r="31" spans="2:35" ht="15">
      <c r="B31" s="44"/>
      <c r="C31" s="9" t="s">
        <v>38</v>
      </c>
      <c r="D31" s="10"/>
      <c r="E31" s="11"/>
      <c r="F31" s="8"/>
      <c r="G31" s="55">
        <v>204.37</v>
      </c>
      <c r="H31" s="28">
        <v>222.3</v>
      </c>
      <c r="I31" s="28">
        <v>0</v>
      </c>
      <c r="J31" s="12">
        <v>0</v>
      </c>
      <c r="K31" s="27">
        <f>SUM(I31,J31)</f>
        <v>0</v>
      </c>
      <c r="L31" s="14">
        <v>0</v>
      </c>
      <c r="M31" s="14">
        <f>SUM(G31,K31)</f>
        <v>204.37</v>
      </c>
      <c r="N31" s="14">
        <f>SUM(H31,K31)</f>
        <v>222.3</v>
      </c>
      <c r="O31" s="106">
        <f>N31*(I37+1)</f>
        <v>250.21225137231906</v>
      </c>
      <c r="P31" s="101">
        <f>SUM(G31,K31/2)</f>
        <v>204.37</v>
      </c>
      <c r="Q31" s="85"/>
      <c r="R31" s="18"/>
      <c r="S31" s="9"/>
      <c r="T31" s="204">
        <f t="shared" si="0"/>
        <v>222.3</v>
      </c>
      <c r="U31" s="206"/>
      <c r="X31" s="159"/>
      <c r="Y31" s="174" t="s">
        <v>131</v>
      </c>
      <c r="Z31" s="176">
        <v>1</v>
      </c>
      <c r="AA31" s="165"/>
      <c r="AB31" s="26"/>
      <c r="AC31" s="26"/>
      <c r="AD31" s="26"/>
      <c r="AE31" s="26"/>
      <c r="AF31" s="26"/>
      <c r="AG31" s="26"/>
      <c r="AH31" s="26"/>
      <c r="AI31" s="160"/>
    </row>
    <row r="32" spans="1:35" ht="15.75" thickBot="1">
      <c r="A32" s="19"/>
      <c r="B32" s="133" t="s">
        <v>102</v>
      </c>
      <c r="C32" s="126" t="s">
        <v>103</v>
      </c>
      <c r="D32" s="127"/>
      <c r="E32" s="128"/>
      <c r="F32" s="129"/>
      <c r="G32" s="54"/>
      <c r="H32" s="7"/>
      <c r="I32" s="7"/>
      <c r="J32" s="6"/>
      <c r="K32" s="13"/>
      <c r="L32" s="13"/>
      <c r="M32" s="13"/>
      <c r="N32" s="115">
        <v>23.4</v>
      </c>
      <c r="O32" s="130"/>
      <c r="P32" s="131"/>
      <c r="Q32" s="135">
        <v>23.4</v>
      </c>
      <c r="R32" s="132"/>
      <c r="S32" s="126"/>
      <c r="T32" s="207"/>
      <c r="U32" s="203">
        <f>SUM(Q32,T33:T34)</f>
        <v>23.4</v>
      </c>
      <c r="V32" s="50"/>
      <c r="W32" s="50"/>
      <c r="X32" s="159"/>
      <c r="Y32" s="174" t="s">
        <v>129</v>
      </c>
      <c r="Z32" s="175">
        <v>1.1</v>
      </c>
      <c r="AA32" s="26"/>
      <c r="AB32" s="26"/>
      <c r="AC32" s="26"/>
      <c r="AD32" s="26"/>
      <c r="AE32" s="26"/>
      <c r="AF32" s="26"/>
      <c r="AG32" s="26"/>
      <c r="AH32" s="26"/>
      <c r="AI32" s="160"/>
    </row>
    <row r="33" spans="2:35" ht="16.5" thickBot="1" thickTop="1">
      <c r="B33" s="44"/>
      <c r="C33" s="9"/>
      <c r="D33" s="10"/>
      <c r="E33" s="11"/>
      <c r="F33" s="8"/>
      <c r="G33" s="93"/>
      <c r="H33" s="225"/>
      <c r="I33" s="225"/>
      <c r="J33" s="94"/>
      <c r="K33" s="225"/>
      <c r="L33" s="226"/>
      <c r="M33" s="163" t="s">
        <v>98</v>
      </c>
      <c r="N33" s="187" t="s">
        <v>96</v>
      </c>
      <c r="O33" s="220"/>
      <c r="P33" s="163" t="s">
        <v>84</v>
      </c>
      <c r="Q33" s="198" t="s">
        <v>77</v>
      </c>
      <c r="R33" s="196" t="s">
        <v>83</v>
      </c>
      <c r="S33" s="198" t="s">
        <v>80</v>
      </c>
      <c r="T33" s="221"/>
      <c r="U33" s="222"/>
      <c r="X33" s="159"/>
      <c r="Y33" s="174" t="s">
        <v>130</v>
      </c>
      <c r="Z33" s="175">
        <v>1.2</v>
      </c>
      <c r="AA33" s="26"/>
      <c r="AB33" s="26"/>
      <c r="AC33" s="26"/>
      <c r="AD33" s="231"/>
      <c r="AE33" s="26"/>
      <c r="AF33" s="26"/>
      <c r="AG33" s="26"/>
      <c r="AH33" s="26"/>
      <c r="AI33" s="160"/>
    </row>
    <row r="34" spans="2:35" ht="16.5" thickBot="1" thickTop="1">
      <c r="B34" s="44"/>
      <c r="C34" s="9"/>
      <c r="D34" s="10"/>
      <c r="E34" s="11"/>
      <c r="F34" s="8"/>
      <c r="G34" s="99"/>
      <c r="H34" s="100"/>
      <c r="I34" s="100"/>
      <c r="J34" s="100"/>
      <c r="K34" s="100"/>
      <c r="M34" s="192">
        <f>SUM(M7,M12,M17,M21,M25)</f>
        <v>1555.6100000000001</v>
      </c>
      <c r="N34" s="193">
        <f>SUM(N7,N12,N17,N21,N25)</f>
        <v>1785.8300000000002</v>
      </c>
      <c r="O34" s="100"/>
      <c r="P34" s="192">
        <f>SUM(P8:P31)</f>
        <v>1850.1799999999998</v>
      </c>
      <c r="Q34" s="199">
        <f>SUM(Q7:Q32)</f>
        <v>261.21999999999997</v>
      </c>
      <c r="R34" s="197">
        <f>SUM(R7:R32)</f>
        <v>2221.4900000000002</v>
      </c>
      <c r="S34" s="199">
        <f>SUM(Q34,R34)</f>
        <v>2482.71</v>
      </c>
      <c r="T34" s="223"/>
      <c r="U34" s="224">
        <f>SUM(U7:U32)</f>
        <v>2300.1750000000006</v>
      </c>
      <c r="X34" s="166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70"/>
    </row>
    <row r="35" spans="2:21" ht="15.75" thickTop="1">
      <c r="B35" s="44"/>
      <c r="C35" s="9"/>
      <c r="D35" s="10"/>
      <c r="E35" s="11"/>
      <c r="F35" s="8"/>
      <c r="G35" s="99"/>
      <c r="H35" s="100"/>
      <c r="I35" s="100"/>
      <c r="J35" s="100"/>
      <c r="K35" s="100"/>
      <c r="L35" s="100"/>
      <c r="M35" s="188" t="s">
        <v>99</v>
      </c>
      <c r="N35" s="189" t="s">
        <v>97</v>
      </c>
      <c r="O35" s="100"/>
      <c r="P35" s="101"/>
      <c r="Q35" s="101"/>
      <c r="R35" s="55"/>
      <c r="S35" s="87"/>
      <c r="T35" s="204"/>
      <c r="U35" s="208"/>
    </row>
    <row r="36" spans="2:21" ht="15.75" thickBot="1">
      <c r="B36" s="44"/>
      <c r="C36" s="9"/>
      <c r="D36" s="10"/>
      <c r="E36" s="11"/>
      <c r="F36" s="8"/>
      <c r="G36" s="257" t="s">
        <v>82</v>
      </c>
      <c r="H36" s="258"/>
      <c r="I36" s="121">
        <f>S34/P34</f>
        <v>1.3418748446097137</v>
      </c>
      <c r="J36" s="100"/>
      <c r="K36" s="100"/>
      <c r="L36" s="100"/>
      <c r="M36" s="190">
        <f>SUM(M30,M31)</f>
        <v>270.83</v>
      </c>
      <c r="N36" s="191">
        <f>N31+N30</f>
        <v>294.59000000000003</v>
      </c>
      <c r="O36" s="100"/>
      <c r="P36" s="101"/>
      <c r="Q36" s="101"/>
      <c r="R36" s="55"/>
      <c r="S36" s="87"/>
      <c r="T36" s="204"/>
      <c r="U36" s="208"/>
    </row>
    <row r="37" spans="2:21" ht="16.5" thickBot="1" thickTop="1">
      <c r="B37" s="44"/>
      <c r="C37" s="9"/>
      <c r="D37" s="10"/>
      <c r="E37" s="11"/>
      <c r="F37" s="8"/>
      <c r="G37" s="257" t="s">
        <v>86</v>
      </c>
      <c r="H37" s="258"/>
      <c r="I37" s="121">
        <f>Q34/N39</f>
        <v>0.12556118476076944</v>
      </c>
      <c r="J37" s="100"/>
      <c r="K37" s="100"/>
      <c r="L37" s="100"/>
      <c r="M37" s="100"/>
      <c r="N37" s="100"/>
      <c r="O37" s="100"/>
      <c r="P37" s="101"/>
      <c r="Q37" s="101"/>
      <c r="R37" s="55"/>
      <c r="S37" s="87"/>
      <c r="T37" s="204"/>
      <c r="U37" s="208"/>
    </row>
    <row r="38" spans="2:21" ht="15.75" thickTop="1">
      <c r="B38" s="44"/>
      <c r="C38" s="9"/>
      <c r="D38" s="10"/>
      <c r="E38" s="11"/>
      <c r="F38" s="8"/>
      <c r="G38" s="99"/>
      <c r="H38" s="103"/>
      <c r="I38" s="100"/>
      <c r="J38" s="100"/>
      <c r="K38" s="100"/>
      <c r="L38" s="100"/>
      <c r="M38" s="194" t="s">
        <v>100</v>
      </c>
      <c r="N38" s="195" t="s">
        <v>95</v>
      </c>
      <c r="O38" s="100"/>
      <c r="P38" s="101"/>
      <c r="Q38" s="101"/>
      <c r="R38" s="55"/>
      <c r="S38" s="87"/>
      <c r="T38" s="204"/>
      <c r="U38" s="208"/>
    </row>
    <row r="39" spans="2:21" ht="15.75" thickBot="1">
      <c r="B39" s="44"/>
      <c r="C39" s="9"/>
      <c r="D39" s="10"/>
      <c r="E39" s="11"/>
      <c r="F39" s="8"/>
      <c r="G39" s="95"/>
      <c r="H39" s="96"/>
      <c r="I39" s="96"/>
      <c r="J39" s="97"/>
      <c r="K39" s="96"/>
      <c r="L39" s="97"/>
      <c r="M39" s="190">
        <f>M34+M36</f>
        <v>1826.44</v>
      </c>
      <c r="N39" s="191">
        <f>N36+N34</f>
        <v>2080.42</v>
      </c>
      <c r="O39" s="97"/>
      <c r="P39" s="98"/>
      <c r="Q39" s="85"/>
      <c r="R39" s="45"/>
      <c r="S39" s="48"/>
      <c r="T39" s="209"/>
      <c r="U39" s="210"/>
    </row>
    <row r="40" spans="2:21" ht="15.75" customHeight="1" thickTop="1">
      <c r="B40" s="143" t="s">
        <v>104</v>
      </c>
      <c r="C40" s="142"/>
      <c r="D40" s="142"/>
      <c r="E40" s="142"/>
      <c r="F40" s="142"/>
      <c r="G40" s="54"/>
      <c r="H40" s="7"/>
      <c r="I40" s="7"/>
      <c r="J40" s="6"/>
      <c r="K40" s="13"/>
      <c r="L40" s="13"/>
      <c r="M40" s="13"/>
      <c r="N40" s="13"/>
      <c r="O40" s="6"/>
      <c r="P40" s="13"/>
      <c r="Q40" s="141">
        <v>78.73</v>
      </c>
      <c r="R40" s="49"/>
      <c r="S40" s="49"/>
      <c r="T40" s="211"/>
      <c r="U40" s="212"/>
    </row>
    <row r="41" spans="2:23" ht="15">
      <c r="B41" s="44"/>
      <c r="C41" s="9" t="s">
        <v>105</v>
      </c>
      <c r="D41" s="10"/>
      <c r="E41" s="11"/>
      <c r="F41" s="8"/>
      <c r="G41" s="57">
        <v>291.95</v>
      </c>
      <c r="H41" s="28">
        <v>328.51</v>
      </c>
      <c r="I41" s="28"/>
      <c r="J41" s="12"/>
      <c r="K41" s="14"/>
      <c r="L41" s="14"/>
      <c r="M41" s="14">
        <f>G41</f>
        <v>291.95</v>
      </c>
      <c r="N41" s="12">
        <f>SUM(H41,J41)</f>
        <v>328.51</v>
      </c>
      <c r="O41" s="12">
        <f>N41*(I45+1)</f>
        <v>408.95</v>
      </c>
      <c r="P41" s="12">
        <f>SUM(G41,L41/2)</f>
        <v>291.95</v>
      </c>
      <c r="Q41" s="140"/>
      <c r="R41" s="12"/>
      <c r="S41" s="12"/>
      <c r="T41" s="213">
        <f>SUM(H41)</f>
        <v>328.51</v>
      </c>
      <c r="U41" s="214">
        <f>SUM(Q40,T41:T41)</f>
        <v>407.24</v>
      </c>
      <c r="W41" s="26"/>
    </row>
    <row r="42" spans="1:24" ht="14.25" customHeight="1">
      <c r="A42" s="136"/>
      <c r="B42" s="107" t="s">
        <v>106</v>
      </c>
      <c r="C42" s="2"/>
      <c r="D42" s="3"/>
      <c r="E42" s="4"/>
      <c r="F42" s="1"/>
      <c r="G42" s="54"/>
      <c r="H42" s="7"/>
      <c r="I42" s="7"/>
      <c r="J42" s="6"/>
      <c r="K42" s="13"/>
      <c r="L42" s="13"/>
      <c r="M42" s="13"/>
      <c r="N42" s="6"/>
      <c r="O42" s="6"/>
      <c r="P42" s="6"/>
      <c r="Q42" s="139">
        <v>82.15</v>
      </c>
      <c r="R42" s="6"/>
      <c r="S42" s="6"/>
      <c r="T42" s="211"/>
      <c r="U42" s="212"/>
      <c r="V42" s="144"/>
      <c r="W42" s="144"/>
      <c r="X42" s="144"/>
    </row>
    <row r="43" spans="1:43" s="61" customFormat="1" ht="15.75" thickBot="1">
      <c r="A43" s="138"/>
      <c r="B43" s="32"/>
      <c r="C43" s="227" t="s">
        <v>105</v>
      </c>
      <c r="D43" s="137"/>
      <c r="E43" s="228"/>
      <c r="F43" s="137"/>
      <c r="G43" s="58">
        <v>293</v>
      </c>
      <c r="H43" s="56">
        <v>328.51</v>
      </c>
      <c r="I43" s="56"/>
      <c r="J43" s="56"/>
      <c r="K43" s="56"/>
      <c r="L43" s="56"/>
      <c r="M43" s="56">
        <f>G43</f>
        <v>293</v>
      </c>
      <c r="N43" s="56">
        <v>328.51</v>
      </c>
      <c r="O43" s="46">
        <f>N43*(I45+1)</f>
        <v>408.95</v>
      </c>
      <c r="P43" s="56">
        <v>293</v>
      </c>
      <c r="Q43" s="134"/>
      <c r="R43" s="47"/>
      <c r="S43" s="56"/>
      <c r="T43" s="215">
        <v>328.51</v>
      </c>
      <c r="U43" s="216">
        <f>Q42+T43</f>
        <v>410.65999999999997</v>
      </c>
      <c r="V43" s="145"/>
      <c r="W43" s="144"/>
      <c r="X43" s="144"/>
      <c r="Y43" s="138"/>
      <c r="Z43" s="138"/>
      <c r="AA43" s="138"/>
      <c r="AB43"/>
      <c r="AC43"/>
      <c r="AD43"/>
      <c r="AE43"/>
      <c r="AF43"/>
      <c r="AG43"/>
      <c r="AH43"/>
      <c r="AI43"/>
      <c r="AJ43"/>
      <c r="AK43" s="144"/>
      <c r="AL43" s="144"/>
      <c r="AM43" s="144"/>
      <c r="AN43" s="144"/>
      <c r="AO43" s="144"/>
      <c r="AP43" s="144"/>
      <c r="AQ43" s="144"/>
    </row>
    <row r="44" spans="14:24" ht="17.25" thickBot="1" thickTop="1">
      <c r="N44" s="200" t="s">
        <v>107</v>
      </c>
      <c r="Q44" s="198" t="s">
        <v>77</v>
      </c>
      <c r="T44" s="217"/>
      <c r="U44" s="218">
        <f>U41+U43</f>
        <v>817.9</v>
      </c>
      <c r="W44" s="138"/>
      <c r="X44" s="138"/>
    </row>
    <row r="45" spans="7:21" ht="17.25" thickBot="1" thickTop="1">
      <c r="G45" s="253" t="s">
        <v>86</v>
      </c>
      <c r="H45" s="254"/>
      <c r="I45" s="121">
        <f>Q45/N45</f>
        <v>0.2448631700709263</v>
      </c>
      <c r="N45" s="201">
        <f>N41+N43</f>
        <v>657.02</v>
      </c>
      <c r="Q45" s="199">
        <f>SUM(Q40:Q43)</f>
        <v>160.88</v>
      </c>
      <c r="T45" s="217"/>
      <c r="U45" s="219"/>
    </row>
    <row r="46" spans="7:21" ht="17.25" thickBot="1" thickTop="1">
      <c r="G46" s="100"/>
      <c r="H46" s="147"/>
      <c r="I46" s="121"/>
      <c r="N46" s="177"/>
      <c r="O46" s="50"/>
      <c r="P46" s="50"/>
      <c r="Q46" s="178"/>
      <c r="T46" s="217"/>
      <c r="U46" s="218">
        <f>U34+U44</f>
        <v>3118.0750000000007</v>
      </c>
    </row>
    <row r="47" spans="7:17" ht="13.5" thickTop="1">
      <c r="G47" s="100"/>
      <c r="H47" s="147"/>
      <c r="I47" s="121"/>
      <c r="N47" s="177"/>
      <c r="O47" s="50"/>
      <c r="P47" s="50"/>
      <c r="Q47" s="178"/>
    </row>
    <row r="49" spans="1:36" ht="12.75">
      <c r="A49" s="179"/>
      <c r="B49" s="179"/>
      <c r="C49" s="179"/>
      <c r="D49" s="179"/>
      <c r="E49" s="179"/>
      <c r="F49" s="179"/>
      <c r="G49" s="180"/>
      <c r="H49" s="181"/>
      <c r="I49" s="182"/>
      <c r="J49" s="179"/>
      <c r="K49" s="179"/>
      <c r="L49" s="179"/>
      <c r="M49" s="179"/>
      <c r="N49" s="180"/>
      <c r="O49" s="179"/>
      <c r="P49" s="179"/>
      <c r="Q49" s="183"/>
      <c r="R49" s="179"/>
      <c r="S49" s="179"/>
      <c r="T49" s="179"/>
      <c r="U49" s="184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</row>
    <row r="50" spans="7:21" ht="12.75">
      <c r="G50" s="100"/>
      <c r="H50" s="147"/>
      <c r="I50" s="121"/>
      <c r="N50" s="177"/>
      <c r="O50" s="50"/>
      <c r="P50" s="50"/>
      <c r="Q50" s="178"/>
      <c r="U50" s="61"/>
    </row>
    <row r="51" spans="14:17" ht="12.75">
      <c r="N51" s="177"/>
      <c r="O51" s="50"/>
      <c r="P51" s="50"/>
      <c r="Q51" s="178"/>
    </row>
    <row r="55" ht="12.75">
      <c r="S55" s="100"/>
    </row>
    <row r="58" ht="12.75">
      <c r="G58" s="26"/>
    </row>
    <row r="70" ht="15">
      <c r="M70" s="185"/>
    </row>
  </sheetData>
  <mergeCells count="6">
    <mergeCell ref="G45:H45"/>
    <mergeCell ref="M3:O3"/>
    <mergeCell ref="G37:H37"/>
    <mergeCell ref="C2:F2"/>
    <mergeCell ref="C3:F3"/>
    <mergeCell ref="G36:H36"/>
  </mergeCells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2"/>
  <sheetViews>
    <sheetView showGridLines="0" zoomScale="75" zoomScaleNormal="75" workbookViewId="0" topLeftCell="L1">
      <selection activeCell="L34" sqref="L34"/>
    </sheetView>
  </sheetViews>
  <sheetFormatPr defaultColWidth="11.421875" defaultRowHeight="12.75"/>
  <cols>
    <col min="1" max="1" width="3.421875" style="0" customWidth="1"/>
    <col min="2" max="2" width="7.8515625" style="0" bestFit="1" customWidth="1"/>
    <col min="3" max="3" width="13.140625" style="0" bestFit="1" customWidth="1"/>
    <col min="4" max="4" width="7.8515625" style="0" bestFit="1" customWidth="1"/>
    <col min="5" max="5" width="9.140625" style="20" bestFit="1" customWidth="1"/>
    <col min="6" max="6" width="14.7109375" style="20" bestFit="1" customWidth="1"/>
    <col min="7" max="7" width="14.8515625" style="20" bestFit="1" customWidth="1"/>
    <col min="8" max="8" width="13.8515625" style="20" bestFit="1" customWidth="1"/>
    <col min="9" max="9" width="10.7109375" style="61" customWidth="1"/>
    <col min="10" max="12" width="10.7109375" style="0" customWidth="1"/>
    <col min="13" max="13" width="7.8515625" style="0" bestFit="1" customWidth="1"/>
    <col min="14" max="14" width="7.00390625" style="0" bestFit="1" customWidth="1"/>
    <col min="15" max="15" width="18.7109375" style="0" bestFit="1" customWidth="1"/>
    <col min="16" max="16" width="4.28125" style="0" customWidth="1"/>
    <col min="17" max="17" width="5.00390625" style="0" customWidth="1"/>
    <col min="18" max="18" width="8.00390625" style="0" bestFit="1" customWidth="1"/>
    <col min="19" max="19" width="10.57421875" style="0" bestFit="1" customWidth="1"/>
    <col min="20" max="20" width="7.8515625" style="0" bestFit="1" customWidth="1"/>
    <col min="21" max="21" width="14.7109375" style="0" bestFit="1" customWidth="1"/>
    <col min="22" max="22" width="14.140625" style="0" bestFit="1" customWidth="1"/>
  </cols>
  <sheetData>
    <row r="1" ht="13.5" thickBot="1"/>
    <row r="2" spans="3:11" s="50" customFormat="1" ht="30" customHeight="1" thickTop="1">
      <c r="C2" s="82"/>
      <c r="D2" s="73" t="s">
        <v>39</v>
      </c>
      <c r="E2" s="77" t="s">
        <v>60</v>
      </c>
      <c r="F2" s="78" t="s">
        <v>61</v>
      </c>
      <c r="G2" s="67" t="s">
        <v>59</v>
      </c>
      <c r="H2" s="51" t="s">
        <v>62</v>
      </c>
      <c r="I2" s="62"/>
      <c r="J2" s="66" t="s">
        <v>55</v>
      </c>
      <c r="K2" s="66" t="s">
        <v>54</v>
      </c>
    </row>
    <row r="3" spans="1:22" s="50" customFormat="1" ht="13.5" thickBot="1">
      <c r="A3"/>
      <c r="B3" s="9" t="s">
        <v>1</v>
      </c>
      <c r="C3" s="52" t="s">
        <v>2</v>
      </c>
      <c r="D3" s="21"/>
      <c r="E3" s="68"/>
      <c r="F3" s="59"/>
      <c r="G3" s="68"/>
      <c r="H3" s="65"/>
      <c r="I3" s="61"/>
      <c r="J3" s="26"/>
      <c r="K3" s="26"/>
      <c r="L3"/>
      <c r="M3" s="52" t="s">
        <v>2</v>
      </c>
      <c r="Q3"/>
      <c r="R3"/>
      <c r="S3"/>
      <c r="T3"/>
      <c r="U3"/>
      <c r="V3"/>
    </row>
    <row r="4" spans="1:22" s="50" customFormat="1" ht="14.25" thickBot="1" thickTop="1">
      <c r="A4"/>
      <c r="B4"/>
      <c r="C4" s="22" t="s">
        <v>41</v>
      </c>
      <c r="D4" s="74">
        <v>13.74</v>
      </c>
      <c r="E4" s="79">
        <f>K4*J4</f>
        <v>3.1500000000000004</v>
      </c>
      <c r="F4" s="60">
        <f>D4*0.1</f>
        <v>1.374</v>
      </c>
      <c r="G4" s="69">
        <f>E4*0.5</f>
        <v>1.5750000000000002</v>
      </c>
      <c r="H4" s="60">
        <f>F4*0.3</f>
        <v>0.4122</v>
      </c>
      <c r="I4" s="61"/>
      <c r="J4" s="26">
        <v>1.5</v>
      </c>
      <c r="K4" s="26">
        <v>2.1</v>
      </c>
      <c r="L4"/>
      <c r="M4" s="30" t="s">
        <v>56</v>
      </c>
      <c r="N4" s="31">
        <v>0.3</v>
      </c>
      <c r="O4" s="35" t="s">
        <v>57</v>
      </c>
      <c r="P4" s="26"/>
      <c r="Q4"/>
      <c r="R4"/>
      <c r="S4"/>
      <c r="T4"/>
      <c r="U4"/>
      <c r="V4"/>
    </row>
    <row r="5" spans="3:16" ht="14.25" thickBot="1" thickTop="1">
      <c r="C5" s="23" t="s">
        <v>40</v>
      </c>
      <c r="D5" s="75">
        <v>11.19</v>
      </c>
      <c r="E5" s="80">
        <f>K5*J5</f>
        <v>1.3</v>
      </c>
      <c r="F5" s="63">
        <f>D5*0.1</f>
        <v>1.119</v>
      </c>
      <c r="G5" s="70">
        <f>E5*0.5</f>
        <v>0.65</v>
      </c>
      <c r="H5" s="63">
        <f>F5*0.3</f>
        <v>0.3357</v>
      </c>
      <c r="J5" s="26">
        <v>1</v>
      </c>
      <c r="K5" s="26">
        <v>1.3</v>
      </c>
      <c r="M5" s="32">
        <f>'superf. viviendas'!G8</f>
        <v>91.23</v>
      </c>
      <c r="N5" s="33">
        <f>M5*0.3</f>
        <v>27.369</v>
      </c>
      <c r="O5" s="36">
        <f>SUM(D7,D8)</f>
        <v>29.6</v>
      </c>
      <c r="P5" s="50"/>
    </row>
    <row r="6" spans="3:11" ht="13.5" thickTop="1">
      <c r="C6" s="23" t="s">
        <v>42</v>
      </c>
      <c r="D6" s="75">
        <v>6.76</v>
      </c>
      <c r="E6" s="80">
        <f>K6*J6</f>
        <v>1.56</v>
      </c>
      <c r="F6" s="63">
        <f>D6*0.1</f>
        <v>0.676</v>
      </c>
      <c r="G6" s="70">
        <f aca="true" t="shared" si="0" ref="G6:G24">E6*0.5</f>
        <v>0.78</v>
      </c>
      <c r="H6" s="63">
        <f>F6*0.3</f>
        <v>0.2028</v>
      </c>
      <c r="J6" s="26">
        <v>1.2</v>
      </c>
      <c r="K6" s="26">
        <v>1.3</v>
      </c>
    </row>
    <row r="7" spans="3:11" ht="12.75">
      <c r="C7" s="23" t="s">
        <v>43</v>
      </c>
      <c r="D7" s="75">
        <v>21.47</v>
      </c>
      <c r="E7" s="80">
        <f>K7*J7</f>
        <v>3.3600000000000003</v>
      </c>
      <c r="F7" s="63">
        <f>D7*0.1</f>
        <v>2.147</v>
      </c>
      <c r="G7" s="70">
        <f t="shared" si="0"/>
        <v>1.6800000000000002</v>
      </c>
      <c r="H7" s="63">
        <f>F7*0.3</f>
        <v>0.6440999999999999</v>
      </c>
      <c r="J7" s="26">
        <v>1.6</v>
      </c>
      <c r="K7" s="26">
        <v>2.1</v>
      </c>
    </row>
    <row r="8" spans="3:11" ht="13.5" thickBot="1">
      <c r="C8" s="24" t="s">
        <v>44</v>
      </c>
      <c r="D8" s="76">
        <v>8.13</v>
      </c>
      <c r="E8" s="81">
        <f>K8*J8</f>
        <v>2.1</v>
      </c>
      <c r="F8" s="64">
        <f>D8*0.1</f>
        <v>0.8130000000000002</v>
      </c>
      <c r="G8" s="71">
        <f t="shared" si="0"/>
        <v>1.05</v>
      </c>
      <c r="H8" s="64">
        <f>F8*0.3</f>
        <v>0.24390000000000003</v>
      </c>
      <c r="J8" s="26">
        <v>1</v>
      </c>
      <c r="K8" s="26">
        <v>2.1</v>
      </c>
    </row>
    <row r="9" spans="2:13" ht="14.25" thickBot="1" thickTop="1">
      <c r="B9" s="9" t="s">
        <v>1</v>
      </c>
      <c r="C9" s="44" t="s">
        <v>23</v>
      </c>
      <c r="D9" s="25"/>
      <c r="E9" s="68"/>
      <c r="F9" s="59"/>
      <c r="G9" s="68"/>
      <c r="H9" s="59"/>
      <c r="J9" s="26"/>
      <c r="K9" s="26"/>
      <c r="M9" s="53" t="s">
        <v>23</v>
      </c>
    </row>
    <row r="10" spans="3:16" ht="14.25" thickBot="1" thickTop="1">
      <c r="C10" s="22" t="s">
        <v>41</v>
      </c>
      <c r="D10" s="74">
        <v>11.65</v>
      </c>
      <c r="E10" s="79">
        <f>K10*J10</f>
        <v>1.3</v>
      </c>
      <c r="F10" s="60">
        <f>D10*0.1</f>
        <v>1.165</v>
      </c>
      <c r="G10" s="72">
        <f t="shared" si="0"/>
        <v>0.65</v>
      </c>
      <c r="H10" s="60">
        <f>F10*0.3</f>
        <v>0.3495</v>
      </c>
      <c r="J10" s="26">
        <v>1</v>
      </c>
      <c r="K10" s="26">
        <v>1.3</v>
      </c>
      <c r="M10" s="30" t="s">
        <v>56</v>
      </c>
      <c r="N10" s="31">
        <v>0.3</v>
      </c>
      <c r="O10" s="35" t="s">
        <v>57</v>
      </c>
      <c r="P10" s="26"/>
    </row>
    <row r="11" spans="3:16" ht="14.25" thickBot="1" thickTop="1">
      <c r="C11" s="23" t="s">
        <v>40</v>
      </c>
      <c r="D11" s="75">
        <v>8.77</v>
      </c>
      <c r="E11" s="80">
        <f>K11*J11</f>
        <v>1.3</v>
      </c>
      <c r="F11" s="63">
        <f>D11*0.1</f>
        <v>0.877</v>
      </c>
      <c r="G11" s="70">
        <f t="shared" si="0"/>
        <v>0.65</v>
      </c>
      <c r="H11" s="63">
        <f>F11*0.3</f>
        <v>0.2631</v>
      </c>
      <c r="J11" s="26">
        <v>1</v>
      </c>
      <c r="K11" s="26">
        <v>1.3</v>
      </c>
      <c r="M11" s="32">
        <f>'superf. viviendas'!G9</f>
        <v>60.21</v>
      </c>
      <c r="N11" s="33">
        <f>M11*0.3</f>
        <v>18.063</v>
      </c>
      <c r="O11" s="34">
        <f>SUM(D12,D13)</f>
        <v>22.63</v>
      </c>
      <c r="P11" s="50"/>
    </row>
    <row r="12" spans="3:11" ht="13.5" thickTop="1">
      <c r="C12" s="23" t="s">
        <v>43</v>
      </c>
      <c r="D12" s="75">
        <v>16.58</v>
      </c>
      <c r="E12" s="80">
        <f>K12*J12</f>
        <v>3.1500000000000004</v>
      </c>
      <c r="F12" s="63">
        <f>D12*0.1</f>
        <v>1.658</v>
      </c>
      <c r="G12" s="70">
        <f t="shared" si="0"/>
        <v>1.5750000000000002</v>
      </c>
      <c r="H12" s="63">
        <f>F12*0.3</f>
        <v>0.49739999999999995</v>
      </c>
      <c r="J12" s="26">
        <v>1.5</v>
      </c>
      <c r="K12" s="26">
        <v>2.1</v>
      </c>
    </row>
    <row r="13" spans="3:11" ht="13.5" thickBot="1">
      <c r="C13" s="24" t="s">
        <v>44</v>
      </c>
      <c r="D13" s="76">
        <v>6.05</v>
      </c>
      <c r="E13" s="81">
        <f>K13*J13</f>
        <v>1.2</v>
      </c>
      <c r="F13" s="64">
        <f>D13*0.1</f>
        <v>0.605</v>
      </c>
      <c r="G13" s="71">
        <f t="shared" si="0"/>
        <v>0.6</v>
      </c>
      <c r="H13" s="64">
        <f>F13*0.3</f>
        <v>0.1815</v>
      </c>
      <c r="J13" s="26">
        <v>1</v>
      </c>
      <c r="K13" s="26">
        <v>1.2</v>
      </c>
    </row>
    <row r="14" spans="2:13" ht="14.25" thickBot="1" thickTop="1">
      <c r="B14" s="9" t="s">
        <v>1</v>
      </c>
      <c r="C14" s="44" t="s">
        <v>24</v>
      </c>
      <c r="D14" s="25"/>
      <c r="E14" s="68"/>
      <c r="F14" s="59"/>
      <c r="G14" s="68"/>
      <c r="H14" s="59"/>
      <c r="J14" s="26"/>
      <c r="K14" s="26"/>
      <c r="M14" s="53" t="s">
        <v>24</v>
      </c>
    </row>
    <row r="15" spans="3:16" ht="14.25" thickBot="1" thickTop="1">
      <c r="C15" s="22" t="s">
        <v>41</v>
      </c>
      <c r="D15" s="74">
        <v>11.56</v>
      </c>
      <c r="E15" s="79">
        <f>K15*J15</f>
        <v>1.3</v>
      </c>
      <c r="F15" s="60">
        <f>D15*0.1</f>
        <v>1.1560000000000001</v>
      </c>
      <c r="G15" s="72">
        <f t="shared" si="0"/>
        <v>0.65</v>
      </c>
      <c r="H15" s="60">
        <f>F15*0.3</f>
        <v>0.34680000000000005</v>
      </c>
      <c r="J15" s="26">
        <v>1</v>
      </c>
      <c r="K15" s="26">
        <v>1.3</v>
      </c>
      <c r="M15" s="30" t="s">
        <v>56</v>
      </c>
      <c r="N15" s="31">
        <v>0.3</v>
      </c>
      <c r="O15" s="35" t="s">
        <v>57</v>
      </c>
      <c r="P15" s="26"/>
    </row>
    <row r="16" spans="3:16" ht="14.25" thickBot="1" thickTop="1">
      <c r="C16" s="23" t="s">
        <v>40</v>
      </c>
      <c r="D16" s="75">
        <v>8.77</v>
      </c>
      <c r="E16" s="80">
        <f>K16*J16</f>
        <v>1.3</v>
      </c>
      <c r="F16" s="63">
        <f>D16*0.1</f>
        <v>0.877</v>
      </c>
      <c r="G16" s="70">
        <f t="shared" si="0"/>
        <v>0.65</v>
      </c>
      <c r="H16" s="63">
        <f>F16*0.3</f>
        <v>0.2631</v>
      </c>
      <c r="J16" s="26">
        <v>1</v>
      </c>
      <c r="K16" s="26">
        <v>1.3</v>
      </c>
      <c r="M16" s="32">
        <f>'superf. viviendas'!G10</f>
        <v>60.13</v>
      </c>
      <c r="N16" s="33">
        <f>M16*0.3</f>
        <v>18.039</v>
      </c>
      <c r="O16" s="34">
        <f>SUM(D17,D18)</f>
        <v>22.63</v>
      </c>
      <c r="P16" s="50"/>
    </row>
    <row r="17" spans="3:16" ht="13.5" thickTop="1">
      <c r="C17" s="23" t="s">
        <v>43</v>
      </c>
      <c r="D17" s="75">
        <v>16.58</v>
      </c>
      <c r="E17" s="80">
        <f>K17*J17</f>
        <v>3.1500000000000004</v>
      </c>
      <c r="F17" s="63">
        <f>D17*0.1</f>
        <v>1.658</v>
      </c>
      <c r="G17" s="70">
        <f t="shared" si="0"/>
        <v>1.5750000000000002</v>
      </c>
      <c r="H17" s="63">
        <f>F17*0.3</f>
        <v>0.49739999999999995</v>
      </c>
      <c r="J17" s="26">
        <v>1.5</v>
      </c>
      <c r="K17" s="26">
        <v>2.1</v>
      </c>
      <c r="P17" s="50"/>
    </row>
    <row r="18" spans="3:11" ht="13.5" thickBot="1">
      <c r="C18" s="24" t="s">
        <v>44</v>
      </c>
      <c r="D18" s="76">
        <v>6.05</v>
      </c>
      <c r="E18" s="81">
        <f>K18*J18</f>
        <v>1.2</v>
      </c>
      <c r="F18" s="64">
        <f>D18*0.1</f>
        <v>0.605</v>
      </c>
      <c r="G18" s="71">
        <f t="shared" si="0"/>
        <v>0.6</v>
      </c>
      <c r="H18" s="64">
        <f>F18*0.3</f>
        <v>0.1815</v>
      </c>
      <c r="J18" s="26">
        <v>1</v>
      </c>
      <c r="K18" s="26">
        <v>1.2</v>
      </c>
    </row>
    <row r="19" spans="2:13" ht="14.25" thickBot="1" thickTop="1">
      <c r="B19" s="9" t="s">
        <v>1</v>
      </c>
      <c r="C19" s="52" t="s">
        <v>26</v>
      </c>
      <c r="D19" s="21"/>
      <c r="E19" s="68"/>
      <c r="F19" s="59"/>
      <c r="G19" s="68"/>
      <c r="H19" s="59"/>
      <c r="J19" s="26"/>
      <c r="K19" s="26"/>
      <c r="M19" s="52" t="s">
        <v>26</v>
      </c>
    </row>
    <row r="20" spans="3:16" ht="14.25" thickBot="1" thickTop="1">
      <c r="C20" s="22" t="s">
        <v>41</v>
      </c>
      <c r="D20" s="74">
        <v>19.17</v>
      </c>
      <c r="E20" s="79">
        <f>K20*J20</f>
        <v>3.1500000000000004</v>
      </c>
      <c r="F20" s="60">
        <f>D20*0.1</f>
        <v>1.9170000000000003</v>
      </c>
      <c r="G20" s="72">
        <f t="shared" si="0"/>
        <v>1.5750000000000002</v>
      </c>
      <c r="H20" s="60">
        <f>F20*0.3</f>
        <v>0.5751000000000001</v>
      </c>
      <c r="J20" s="26">
        <v>1.5</v>
      </c>
      <c r="K20" s="26">
        <v>2.1</v>
      </c>
      <c r="M20" s="30" t="s">
        <v>56</v>
      </c>
      <c r="N20" s="31">
        <v>0.3</v>
      </c>
      <c r="O20" s="35" t="s">
        <v>57</v>
      </c>
      <c r="P20" s="26"/>
    </row>
    <row r="21" spans="3:16" ht="14.25" thickBot="1" thickTop="1">
      <c r="C21" s="23" t="s">
        <v>40</v>
      </c>
      <c r="D21" s="75">
        <v>11.19</v>
      </c>
      <c r="E21" s="80">
        <f>K21*J21</f>
        <v>1.1700000000000002</v>
      </c>
      <c r="F21" s="63">
        <f>D21*0.1</f>
        <v>1.119</v>
      </c>
      <c r="G21" s="70">
        <f t="shared" si="0"/>
        <v>0.5850000000000001</v>
      </c>
      <c r="H21" s="63">
        <f>F21*0.3</f>
        <v>0.3357</v>
      </c>
      <c r="J21" s="26">
        <v>0.9</v>
      </c>
      <c r="K21" s="26">
        <v>1.3</v>
      </c>
      <c r="M21" s="32">
        <f>'superf. viviendas'!G11</f>
        <v>90.04</v>
      </c>
      <c r="N21" s="33">
        <f>M21*0.3</f>
        <v>27.012</v>
      </c>
      <c r="O21" s="36">
        <f>D23+D24</f>
        <v>29.61</v>
      </c>
      <c r="P21" s="50"/>
    </row>
    <row r="22" spans="3:16" ht="13.5" thickTop="1">
      <c r="C22" s="23" t="s">
        <v>42</v>
      </c>
      <c r="D22" s="75">
        <v>6.76</v>
      </c>
      <c r="E22" s="80">
        <f>K22*J22</f>
        <v>1.56</v>
      </c>
      <c r="F22" s="63">
        <f>D22*0.1</f>
        <v>0.676</v>
      </c>
      <c r="G22" s="70">
        <f t="shared" si="0"/>
        <v>0.78</v>
      </c>
      <c r="H22" s="63">
        <f>F22*0.3</f>
        <v>0.2028</v>
      </c>
      <c r="J22" s="26">
        <v>1.2</v>
      </c>
      <c r="K22" s="26">
        <v>1.3</v>
      </c>
      <c r="P22" s="50"/>
    </row>
    <row r="23" spans="3:11" ht="12.75">
      <c r="C23" s="23" t="s">
        <v>43</v>
      </c>
      <c r="D23" s="75">
        <v>21.48</v>
      </c>
      <c r="E23" s="80">
        <f>K23*J23</f>
        <v>3.3600000000000003</v>
      </c>
      <c r="F23" s="63">
        <f>D23*0.1</f>
        <v>2.148</v>
      </c>
      <c r="G23" s="70">
        <f t="shared" si="0"/>
        <v>1.6800000000000002</v>
      </c>
      <c r="H23" s="63">
        <f>F23*0.3</f>
        <v>0.6444</v>
      </c>
      <c r="J23" s="26">
        <v>1.6</v>
      </c>
      <c r="K23" s="26">
        <v>2.1</v>
      </c>
    </row>
    <row r="24" spans="3:18" ht="13.5" thickBot="1">
      <c r="C24" s="24" t="s">
        <v>44</v>
      </c>
      <c r="D24" s="76">
        <v>8.13</v>
      </c>
      <c r="E24" s="81">
        <f>K24*J24</f>
        <v>2.1</v>
      </c>
      <c r="F24" s="64">
        <f>D24*0.1</f>
        <v>0.8130000000000002</v>
      </c>
      <c r="G24" s="71">
        <f t="shared" si="0"/>
        <v>1.05</v>
      </c>
      <c r="H24" s="64">
        <f>F24*0.3</f>
        <v>0.24390000000000003</v>
      </c>
      <c r="J24" s="26">
        <v>1</v>
      </c>
      <c r="K24" s="26">
        <v>2.1</v>
      </c>
      <c r="Q24" s="20"/>
      <c r="R24" s="20"/>
    </row>
    <row r="25" spans="2:13" ht="14.25" thickBot="1" thickTop="1">
      <c r="B25" s="9" t="s">
        <v>1</v>
      </c>
      <c r="C25" s="52" t="s">
        <v>126</v>
      </c>
      <c r="D25" s="21"/>
      <c r="E25" s="68"/>
      <c r="F25" s="59"/>
      <c r="G25" s="68"/>
      <c r="H25" s="59"/>
      <c r="J25" s="26"/>
      <c r="K25" s="26"/>
      <c r="M25" s="52" t="s">
        <v>126</v>
      </c>
    </row>
    <row r="26" spans="3:16" ht="14.25" thickBot="1" thickTop="1">
      <c r="C26" s="22" t="s">
        <v>41</v>
      </c>
      <c r="D26" s="74">
        <v>12.96</v>
      </c>
      <c r="E26" s="79">
        <f>K26*J26</f>
        <v>3.1500000000000004</v>
      </c>
      <c r="F26" s="60">
        <f>D26*0.1</f>
        <v>1.2960000000000003</v>
      </c>
      <c r="G26" s="72">
        <f>E26*0.5</f>
        <v>1.5750000000000002</v>
      </c>
      <c r="H26" s="60">
        <f>F26*0.3</f>
        <v>0.3888000000000001</v>
      </c>
      <c r="J26" s="26">
        <v>1.5</v>
      </c>
      <c r="K26" s="26">
        <v>2.1</v>
      </c>
      <c r="M26" s="30" t="s">
        <v>56</v>
      </c>
      <c r="N26" s="31">
        <v>0.3</v>
      </c>
      <c r="O26" s="35" t="s">
        <v>57</v>
      </c>
      <c r="P26" s="26"/>
    </row>
    <row r="27" spans="3:23" ht="14.25" thickBot="1" thickTop="1">
      <c r="C27" s="23" t="s">
        <v>40</v>
      </c>
      <c r="D27" s="75">
        <v>9.92</v>
      </c>
      <c r="E27" s="80">
        <f>K27*J27</f>
        <v>1.3</v>
      </c>
      <c r="F27" s="63">
        <f>D27*0.1</f>
        <v>0.992</v>
      </c>
      <c r="G27" s="70">
        <f>E27*0.5</f>
        <v>0.65</v>
      </c>
      <c r="H27" s="63">
        <f>F27*0.3</f>
        <v>0.2976</v>
      </c>
      <c r="J27" s="26">
        <v>1</v>
      </c>
      <c r="K27" s="26">
        <v>1.3</v>
      </c>
      <c r="M27" s="122">
        <f>'superf. viviendas'!G18</f>
        <v>98.38</v>
      </c>
      <c r="N27" s="33">
        <f>M27*0.3</f>
        <v>29.513999999999996</v>
      </c>
      <c r="O27" s="36">
        <f>D29+D30</f>
        <v>36.489999999999995</v>
      </c>
      <c r="P27" s="50"/>
      <c r="R27" s="245"/>
      <c r="S27" s="246" t="s">
        <v>52</v>
      </c>
      <c r="T27" s="246" t="s">
        <v>39</v>
      </c>
      <c r="U27" s="247" t="s">
        <v>46</v>
      </c>
      <c r="V27" s="247" t="s">
        <v>51</v>
      </c>
      <c r="W27" s="248" t="s">
        <v>47</v>
      </c>
    </row>
    <row r="28" spans="3:23" ht="14.25" thickBot="1" thickTop="1">
      <c r="C28" s="23" t="s">
        <v>42</v>
      </c>
      <c r="D28" s="75">
        <v>6.8</v>
      </c>
      <c r="E28" s="80">
        <f>K28*J28</f>
        <v>1.56</v>
      </c>
      <c r="F28" s="63">
        <f>D28*0.1</f>
        <v>0.68</v>
      </c>
      <c r="G28" s="70">
        <f>E28*0.5</f>
        <v>0.78</v>
      </c>
      <c r="H28" s="63">
        <f>F28*0.3</f>
        <v>0.20400000000000001</v>
      </c>
      <c r="J28" s="26">
        <v>1.2</v>
      </c>
      <c r="K28" s="26">
        <v>1.3</v>
      </c>
      <c r="R28" s="249" t="s">
        <v>37</v>
      </c>
      <c r="S28" s="250"/>
      <c r="T28" s="250"/>
      <c r="U28" s="251" t="s">
        <v>49</v>
      </c>
      <c r="V28" s="251" t="s">
        <v>50</v>
      </c>
      <c r="W28" s="252"/>
    </row>
    <row r="29" spans="3:23" ht="13.5" customHeight="1" thickTop="1">
      <c r="C29" s="23" t="s">
        <v>43</v>
      </c>
      <c r="D29" s="75">
        <v>25.99</v>
      </c>
      <c r="E29" s="80">
        <f>K29*J29</f>
        <v>3.1500000000000004</v>
      </c>
      <c r="F29" s="63">
        <f>D29*0.1</f>
        <v>2.599</v>
      </c>
      <c r="G29" s="70">
        <f>E29*0.5</f>
        <v>1.5750000000000002</v>
      </c>
      <c r="H29" s="63">
        <f>F29*0.3</f>
        <v>0.7797000000000001</v>
      </c>
      <c r="J29" s="26">
        <v>1.5</v>
      </c>
      <c r="K29" s="26">
        <v>2.1</v>
      </c>
      <c r="R29" s="240" t="s">
        <v>45</v>
      </c>
      <c r="S29" s="177">
        <v>327.79</v>
      </c>
      <c r="T29" s="177">
        <v>302</v>
      </c>
      <c r="U29" s="9">
        <f>T29/20</f>
        <v>15.1</v>
      </c>
      <c r="V29" s="9">
        <f>T29/30</f>
        <v>10.066666666666666</v>
      </c>
      <c r="W29" s="241">
        <v>10</v>
      </c>
    </row>
    <row r="30" spans="3:23" ht="13.5" customHeight="1" thickBot="1">
      <c r="C30" s="24" t="s">
        <v>44</v>
      </c>
      <c r="D30" s="76">
        <v>10.5</v>
      </c>
      <c r="E30" s="81">
        <f>K30*J30</f>
        <v>1.2</v>
      </c>
      <c r="F30" s="64">
        <f>D30*0.1</f>
        <v>1.05</v>
      </c>
      <c r="G30" s="71">
        <f>E30*0.5</f>
        <v>0.6</v>
      </c>
      <c r="H30" s="64">
        <f>F30*0.3</f>
        <v>0.315</v>
      </c>
      <c r="J30" s="26">
        <v>1</v>
      </c>
      <c r="K30" s="26">
        <v>1.2</v>
      </c>
      <c r="R30" s="242" t="s">
        <v>48</v>
      </c>
      <c r="S30" s="96">
        <v>327.79</v>
      </c>
      <c r="T30" s="96">
        <v>302</v>
      </c>
      <c r="U30" s="243">
        <f>T30/20</f>
        <v>15.1</v>
      </c>
      <c r="V30" s="243">
        <f>T30/30</f>
        <v>10.066666666666666</v>
      </c>
      <c r="W30" s="244">
        <v>12</v>
      </c>
    </row>
    <row r="31" spans="2:13" ht="14.25" thickBot="1" thickTop="1">
      <c r="B31" s="9" t="s">
        <v>1</v>
      </c>
      <c r="C31" s="52" t="s">
        <v>127</v>
      </c>
      <c r="D31" s="21"/>
      <c r="E31" s="68"/>
      <c r="F31" s="59"/>
      <c r="G31" s="68"/>
      <c r="H31" s="59"/>
      <c r="J31" s="26"/>
      <c r="K31" s="26"/>
      <c r="M31" s="52" t="s">
        <v>127</v>
      </c>
    </row>
    <row r="32" spans="3:16" ht="14.25" thickBot="1" thickTop="1">
      <c r="C32" s="22" t="s">
        <v>41</v>
      </c>
      <c r="D32" s="74">
        <v>13.27</v>
      </c>
      <c r="E32" s="79">
        <f>K32*J32</f>
        <v>1.56</v>
      </c>
      <c r="F32" s="60">
        <f>D32*0.1</f>
        <v>1.327</v>
      </c>
      <c r="G32" s="72">
        <f>E32*0.5</f>
        <v>0.78</v>
      </c>
      <c r="H32" s="60">
        <f>F32*0.3</f>
        <v>0.39809999999999995</v>
      </c>
      <c r="J32" s="26">
        <v>1.2</v>
      </c>
      <c r="K32" s="26">
        <v>1.3</v>
      </c>
      <c r="M32" s="30" t="s">
        <v>56</v>
      </c>
      <c r="N32" s="31">
        <v>0.3</v>
      </c>
      <c r="O32" s="35" t="s">
        <v>57</v>
      </c>
      <c r="P32" s="26"/>
    </row>
    <row r="33" spans="3:16" ht="14.25" thickBot="1" thickTop="1">
      <c r="C33" s="23" t="s">
        <v>40</v>
      </c>
      <c r="D33" s="75">
        <v>12.33</v>
      </c>
      <c r="E33" s="80">
        <f>K33*J33</f>
        <v>1.3</v>
      </c>
      <c r="F33" s="63">
        <f>D33*0.1</f>
        <v>1.233</v>
      </c>
      <c r="G33" s="70">
        <f>E33*0.5</f>
        <v>0.65</v>
      </c>
      <c r="H33" s="63">
        <f>F33*0.3</f>
        <v>0.3699</v>
      </c>
      <c r="J33" s="26">
        <v>1</v>
      </c>
      <c r="K33" s="26">
        <v>1.3</v>
      </c>
      <c r="M33" s="32">
        <f>'superf. viviendas'!G19</f>
        <v>94.21</v>
      </c>
      <c r="N33" s="33">
        <f>M33*0.3</f>
        <v>28.262999999999998</v>
      </c>
      <c r="O33" s="36">
        <f>D35+D36</f>
        <v>41.22</v>
      </c>
      <c r="P33" s="50"/>
    </row>
    <row r="34" spans="3:11" ht="13.5" thickTop="1">
      <c r="C34" s="23" t="s">
        <v>42</v>
      </c>
      <c r="D34" s="75">
        <v>10.79</v>
      </c>
      <c r="E34" s="80">
        <f>K34*J34</f>
        <v>1.56</v>
      </c>
      <c r="F34" s="63">
        <f>D34*0.1</f>
        <v>1.079</v>
      </c>
      <c r="G34" s="70">
        <f>E34*0.5</f>
        <v>0.78</v>
      </c>
      <c r="H34" s="63">
        <f>F34*0.3</f>
        <v>0.3237</v>
      </c>
      <c r="J34" s="26">
        <v>1.2</v>
      </c>
      <c r="K34" s="26">
        <v>1.3</v>
      </c>
    </row>
    <row r="35" spans="3:11" ht="12.75">
      <c r="C35" s="23" t="s">
        <v>43</v>
      </c>
      <c r="D35" s="75">
        <v>26.97</v>
      </c>
      <c r="E35" s="80">
        <f>K35*J35</f>
        <v>3.1500000000000004</v>
      </c>
      <c r="F35" s="63">
        <f>D35*0.1</f>
        <v>2.697</v>
      </c>
      <c r="G35" s="70">
        <f>E35*0.5</f>
        <v>1.5750000000000002</v>
      </c>
      <c r="H35" s="63">
        <f>F35*0.3</f>
        <v>0.8091</v>
      </c>
      <c r="J35" s="26">
        <v>1.5</v>
      </c>
      <c r="K35" s="26">
        <v>2.1</v>
      </c>
    </row>
    <row r="36" spans="3:11" ht="13.5" thickBot="1">
      <c r="C36" s="24" t="s">
        <v>44</v>
      </c>
      <c r="D36" s="76">
        <v>14.25</v>
      </c>
      <c r="E36" s="81">
        <f>K36*J36</f>
        <v>1.2</v>
      </c>
      <c r="F36" s="64">
        <f>D36*0.1</f>
        <v>1.425</v>
      </c>
      <c r="G36" s="71">
        <f>E36*0.5</f>
        <v>0.6</v>
      </c>
      <c r="H36" s="64">
        <f>F36*0.3</f>
        <v>0.4275</v>
      </c>
      <c r="J36" s="26">
        <v>1</v>
      </c>
      <c r="K36" s="26">
        <v>1.2</v>
      </c>
    </row>
    <row r="37" spans="2:13" ht="14.25" thickBot="1" thickTop="1">
      <c r="B37" s="9" t="s">
        <v>1</v>
      </c>
      <c r="C37" s="52" t="s">
        <v>128</v>
      </c>
      <c r="D37" s="21"/>
      <c r="E37" s="68"/>
      <c r="F37" s="59"/>
      <c r="G37" s="68"/>
      <c r="H37" s="59"/>
      <c r="J37" s="26"/>
      <c r="K37" s="26"/>
      <c r="M37" s="52" t="s">
        <v>128</v>
      </c>
    </row>
    <row r="38" spans="3:16" ht="14.25" thickBot="1" thickTop="1">
      <c r="C38" s="22" t="s">
        <v>41</v>
      </c>
      <c r="D38" s="74">
        <v>18.65</v>
      </c>
      <c r="E38" s="79">
        <f>K38*J38</f>
        <v>3.1500000000000004</v>
      </c>
      <c r="F38" s="60">
        <f>D38*0.1</f>
        <v>1.865</v>
      </c>
      <c r="G38" s="72">
        <f>E38*0.5</f>
        <v>1.5750000000000002</v>
      </c>
      <c r="H38" s="60">
        <f>F38*0.3</f>
        <v>0.5595</v>
      </c>
      <c r="J38" s="26">
        <v>1.5</v>
      </c>
      <c r="K38" s="26">
        <v>2.1</v>
      </c>
      <c r="M38" s="30" t="s">
        <v>56</v>
      </c>
      <c r="N38" s="31">
        <v>0.3</v>
      </c>
      <c r="O38" s="35" t="s">
        <v>57</v>
      </c>
      <c r="P38" s="26"/>
    </row>
    <row r="39" spans="3:16" ht="14.25" thickBot="1" thickTop="1">
      <c r="C39" s="23" t="s">
        <v>40</v>
      </c>
      <c r="D39" s="75">
        <v>9.89</v>
      </c>
      <c r="E39" s="80">
        <f>K39*J39</f>
        <v>1.1700000000000002</v>
      </c>
      <c r="F39" s="63">
        <f>D39*0.1</f>
        <v>0.9890000000000001</v>
      </c>
      <c r="G39" s="70">
        <f>E39*0.5</f>
        <v>0.5850000000000001</v>
      </c>
      <c r="H39" s="63">
        <f>F39*0.3</f>
        <v>0.2967</v>
      </c>
      <c r="J39" s="26">
        <v>0.9</v>
      </c>
      <c r="K39" s="26">
        <v>1.3</v>
      </c>
      <c r="M39" s="32">
        <f>'superf. viviendas'!G20</f>
        <v>97.23</v>
      </c>
      <c r="N39" s="33">
        <f>M39*0.3</f>
        <v>29.169</v>
      </c>
      <c r="O39" s="36">
        <f>D41+D42</f>
        <v>36.489999999999995</v>
      </c>
      <c r="P39" s="50"/>
    </row>
    <row r="40" spans="3:11" ht="13.5" thickTop="1">
      <c r="C40" s="23" t="s">
        <v>42</v>
      </c>
      <c r="D40" s="75">
        <v>6.8</v>
      </c>
      <c r="E40" s="80">
        <f>K40*J40</f>
        <v>1.56</v>
      </c>
      <c r="F40" s="63">
        <f>D40*0.1</f>
        <v>0.68</v>
      </c>
      <c r="G40" s="70">
        <f>E40*0.5</f>
        <v>0.78</v>
      </c>
      <c r="H40" s="63">
        <f>F40*0.3</f>
        <v>0.20400000000000001</v>
      </c>
      <c r="J40" s="26">
        <v>1.2</v>
      </c>
      <c r="K40" s="26">
        <v>1.3</v>
      </c>
    </row>
    <row r="41" spans="3:11" ht="12.75">
      <c r="C41" s="23" t="s">
        <v>43</v>
      </c>
      <c r="D41" s="75">
        <v>25.99</v>
      </c>
      <c r="E41" s="80">
        <f>K41*J41</f>
        <v>3.1500000000000004</v>
      </c>
      <c r="F41" s="63">
        <f>D41*0.1</f>
        <v>2.599</v>
      </c>
      <c r="G41" s="70">
        <f>E41*0.5</f>
        <v>1.5750000000000002</v>
      </c>
      <c r="H41" s="63">
        <f>F41*0.3</f>
        <v>0.7797000000000001</v>
      </c>
      <c r="J41" s="26">
        <v>1.5</v>
      </c>
      <c r="K41" s="26">
        <v>2.1</v>
      </c>
    </row>
    <row r="42" spans="3:19" ht="13.5" thickBot="1">
      <c r="C42" s="24" t="s">
        <v>44</v>
      </c>
      <c r="D42" s="76">
        <v>10.5</v>
      </c>
      <c r="E42" s="81">
        <f>K42*J42</f>
        <v>1.2</v>
      </c>
      <c r="F42" s="64">
        <f>D42*0.1</f>
        <v>1.05</v>
      </c>
      <c r="G42" s="71">
        <f>E42*0.5</f>
        <v>0.6</v>
      </c>
      <c r="H42" s="64">
        <f>F42*0.3</f>
        <v>0.315</v>
      </c>
      <c r="J42" s="26">
        <v>1</v>
      </c>
      <c r="K42" s="26">
        <v>1.2</v>
      </c>
      <c r="S42" s="50"/>
    </row>
    <row r="43" ht="13.5" thickTop="1"/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cps - estudios de arquitectura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usuario3</cp:lastModifiedBy>
  <cp:lastPrinted>2004-10-21T16:51:37Z</cp:lastPrinted>
  <dcterms:created xsi:type="dcterms:W3CDTF">2004-09-16T07:45:43Z</dcterms:created>
  <dcterms:modified xsi:type="dcterms:W3CDTF">2005-05-19T17:31:11Z</dcterms:modified>
  <cp:category/>
  <cp:version/>
  <cp:contentType/>
  <cp:contentStatus/>
</cp:coreProperties>
</file>